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ร่างปี 60\SAR2560\1--SARหลักสูตร\file ที่หน่วยงานส่งมา--ขึ้น WEB\AUN-QA 8.1-8.2-8.3-11.1-11.2\"/>
    </mc:Choice>
  </mc:AlternateContent>
  <bookViews>
    <workbookView xWindow="0" yWindow="0" windowWidth="28800" windowHeight="12000"/>
  </bookViews>
  <sheets>
    <sheet name="AUN-8.1-1-2560" sheetId="7" r:id="rId1"/>
    <sheet name="C-1-1- 2559" sheetId="1" r:id="rId2"/>
    <sheet name="c1-1-1-2558" sheetId="2" r:id="rId3"/>
    <sheet name="c1-1-1-2557-แก้ไข050959" sheetId="3" r:id="rId4"/>
    <sheet name="c1-1-1-2556-แก้ไข-050959" sheetId="4" r:id="rId5"/>
    <sheet name="c1-1-1-2555-แก้ไข-050959" sheetId="5" r:id="rId6"/>
    <sheet name="c1-1-1-2554" sheetId="6" r:id="rId7"/>
  </sheets>
  <definedNames>
    <definedName name="b" localSheetId="0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>#REF!</definedName>
    <definedName name="_xlnm.Print_Area" localSheetId="0">'AUN-8.1-1-2560'!$A$1:$AA$63</definedName>
    <definedName name="_xlnm.Print_Area" localSheetId="1">'C-1-1- 2559'!$A$1:$T$57</definedName>
    <definedName name="_xlnm.Print_Area" localSheetId="6">'c1-1-1-2554'!$A$1:$T$52</definedName>
    <definedName name="_xlnm.Print_Area" localSheetId="5">'c1-1-1-2555-แก้ไข-050959'!$A$1:$T$53</definedName>
    <definedName name="_xlnm.Print_Area" localSheetId="4">'c1-1-1-2556-แก้ไข-050959'!$A$1:$T$56</definedName>
    <definedName name="_xlnm.Print_Area" localSheetId="3">'c1-1-1-2557-แก้ไข050959'!$A$1:$T$56</definedName>
    <definedName name="_xlnm.Print_Area" localSheetId="2">'c1-1-1-2558'!$A$1:$T$57</definedName>
    <definedName name="_xlnm.Print_Titles" localSheetId="0">'AUN-8.1-1-2560'!$3:$6</definedName>
    <definedName name="_xlnm.Print_Titles" localSheetId="1">'C-1-1- 2559'!$3:$5</definedName>
    <definedName name="_xlnm.Print_Titles" localSheetId="6">'c1-1-1-2554'!$2:$5</definedName>
    <definedName name="_xlnm.Print_Titles" localSheetId="5">'c1-1-1-2555-แก้ไข-050959'!$2:$5</definedName>
    <definedName name="_xlnm.Print_Titles" localSheetId="4">'c1-1-1-2556-แก้ไข-050959'!$2:$5</definedName>
    <definedName name="_xlnm.Print_Titles" localSheetId="3">'c1-1-1-2557-แก้ไข050959'!$2:$5</definedName>
    <definedName name="_xlnm.Print_Titles" localSheetId="2">'c1-1-1-2558'!$2:$5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7" l="1"/>
  <c r="D55" i="7"/>
  <c r="D53" i="7"/>
  <c r="D51" i="7"/>
  <c r="D23" i="7"/>
  <c r="D18" i="7"/>
  <c r="D15" i="7"/>
  <c r="D7" i="7"/>
  <c r="C57" i="7"/>
  <c r="C55" i="7"/>
  <c r="C53" i="7"/>
  <c r="C51" i="7"/>
  <c r="C23" i="7"/>
  <c r="C18" i="7"/>
  <c r="C15" i="7"/>
  <c r="C7" i="7"/>
  <c r="D61" i="7" l="1"/>
  <c r="C61" i="7"/>
  <c r="B57" i="7"/>
  <c r="B55" i="7"/>
  <c r="B53" i="7"/>
  <c r="B51" i="7"/>
  <c r="B23" i="7"/>
  <c r="B18" i="7"/>
  <c r="B15" i="7"/>
  <c r="B7" i="7"/>
  <c r="B9" i="7"/>
  <c r="B61" i="7" l="1"/>
  <c r="Q45" i="1" l="1"/>
  <c r="S49" i="6" l="1"/>
  <c r="K49" i="6"/>
  <c r="L49" i="6" s="1"/>
  <c r="S48" i="6"/>
  <c r="I48" i="6"/>
  <c r="D48" i="6"/>
  <c r="C48" i="6"/>
  <c r="B48" i="6"/>
  <c r="S47" i="6"/>
  <c r="S44" i="6" s="1"/>
  <c r="K47" i="6"/>
  <c r="S46" i="6"/>
  <c r="K46" i="6"/>
  <c r="T45" i="6"/>
  <c r="S45" i="6"/>
  <c r="P45" i="6"/>
  <c r="N45" i="6"/>
  <c r="L45" i="6"/>
  <c r="K45" i="6"/>
  <c r="J45" i="6"/>
  <c r="H45" i="6"/>
  <c r="F45" i="6"/>
  <c r="O44" i="6"/>
  <c r="M44" i="6"/>
  <c r="K44" i="6"/>
  <c r="I44" i="6"/>
  <c r="G44" i="6"/>
  <c r="E44" i="6"/>
  <c r="D44" i="6"/>
  <c r="D42" i="6" s="1"/>
  <c r="C44" i="6"/>
  <c r="C42" i="6" s="1"/>
  <c r="B44" i="6"/>
  <c r="S43" i="6"/>
  <c r="K43" i="6"/>
  <c r="B42" i="6"/>
  <c r="S41" i="6"/>
  <c r="K41" i="6"/>
  <c r="S40" i="6"/>
  <c r="K40" i="6"/>
  <c r="S39" i="6"/>
  <c r="K39" i="6"/>
  <c r="S38" i="6"/>
  <c r="R38" i="6"/>
  <c r="K38" i="6"/>
  <c r="F38" i="6" s="1"/>
  <c r="J38" i="6"/>
  <c r="S37" i="6"/>
  <c r="K37" i="6"/>
  <c r="S36" i="6"/>
  <c r="R36" i="6"/>
  <c r="N36" i="6"/>
  <c r="K36" i="6"/>
  <c r="T36" i="6" s="1"/>
  <c r="F36" i="6"/>
  <c r="S35" i="6"/>
  <c r="R35" i="6"/>
  <c r="K35" i="6"/>
  <c r="J35" i="6" s="1"/>
  <c r="H35" i="6"/>
  <c r="F35" i="6"/>
  <c r="S34" i="6"/>
  <c r="R34" i="6"/>
  <c r="K34" i="6"/>
  <c r="S33" i="6"/>
  <c r="K33" i="6"/>
  <c r="F33" i="6" s="1"/>
  <c r="J33" i="6"/>
  <c r="S32" i="6"/>
  <c r="R32" i="6"/>
  <c r="K32" i="6"/>
  <c r="S31" i="6"/>
  <c r="K31" i="6"/>
  <c r="S30" i="6"/>
  <c r="R30" i="6"/>
  <c r="K30" i="6"/>
  <c r="S29" i="6"/>
  <c r="R29" i="6"/>
  <c r="K29" i="6"/>
  <c r="S28" i="6"/>
  <c r="R28" i="6"/>
  <c r="K28" i="6"/>
  <c r="S27" i="6"/>
  <c r="R27" i="6"/>
  <c r="K27" i="6"/>
  <c r="S26" i="6"/>
  <c r="R26" i="6"/>
  <c r="K26" i="6"/>
  <c r="S25" i="6"/>
  <c r="T25" i="6" s="1"/>
  <c r="R25" i="6"/>
  <c r="K25" i="6"/>
  <c r="J25" i="6" s="1"/>
  <c r="S24" i="6"/>
  <c r="R24" i="6"/>
  <c r="K24" i="6"/>
  <c r="S23" i="6"/>
  <c r="K23" i="6"/>
  <c r="S22" i="6"/>
  <c r="R22" i="6"/>
  <c r="K22" i="6"/>
  <c r="F22" i="6" s="1"/>
  <c r="J22" i="6"/>
  <c r="S21" i="6"/>
  <c r="R21" i="6"/>
  <c r="K21" i="6"/>
  <c r="J21" i="6" s="1"/>
  <c r="F21" i="6"/>
  <c r="S20" i="6"/>
  <c r="R20" i="6"/>
  <c r="K20" i="6"/>
  <c r="J20" i="6"/>
  <c r="F20" i="6"/>
  <c r="S19" i="6"/>
  <c r="R19" i="6"/>
  <c r="N19" i="6"/>
  <c r="K19" i="6"/>
  <c r="T19" i="6" s="1"/>
  <c r="S18" i="6"/>
  <c r="R18" i="6"/>
  <c r="P18" i="6"/>
  <c r="N18" i="6"/>
  <c r="K18" i="6"/>
  <c r="D18" i="6"/>
  <c r="B18" i="6"/>
  <c r="B17" i="6" s="1"/>
  <c r="Q17" i="6"/>
  <c r="O17" i="6"/>
  <c r="M17" i="6"/>
  <c r="I17" i="6"/>
  <c r="G17" i="6"/>
  <c r="E17" i="6"/>
  <c r="D17" i="6"/>
  <c r="C17" i="6"/>
  <c r="T16" i="6"/>
  <c r="R16" i="6"/>
  <c r="P16" i="6"/>
  <c r="N16" i="6"/>
  <c r="L16" i="6"/>
  <c r="J16" i="6"/>
  <c r="H16" i="6"/>
  <c r="F16" i="6"/>
  <c r="T15" i="6"/>
  <c r="R15" i="6"/>
  <c r="P15" i="6"/>
  <c r="N15" i="6"/>
  <c r="L15" i="6"/>
  <c r="J15" i="6"/>
  <c r="H15" i="6"/>
  <c r="F15" i="6"/>
  <c r="T14" i="6"/>
  <c r="R14" i="6"/>
  <c r="P14" i="6"/>
  <c r="N14" i="6"/>
  <c r="L14" i="6"/>
  <c r="J14" i="6"/>
  <c r="H14" i="6"/>
  <c r="F14" i="6"/>
  <c r="B13" i="6"/>
  <c r="B12" i="6" s="1"/>
  <c r="Q12" i="6"/>
  <c r="O12" i="6"/>
  <c r="P12" i="6" s="1"/>
  <c r="M12" i="6"/>
  <c r="I12" i="6"/>
  <c r="G12" i="6"/>
  <c r="E12" i="6"/>
  <c r="D12" i="6"/>
  <c r="C12" i="6"/>
  <c r="S11" i="6"/>
  <c r="P11" i="6"/>
  <c r="N11" i="6"/>
  <c r="K11" i="6"/>
  <c r="D11" i="6"/>
  <c r="B11" i="6"/>
  <c r="B9" i="6" s="1"/>
  <c r="S10" i="6"/>
  <c r="P10" i="6"/>
  <c r="N10" i="6"/>
  <c r="K10" i="6"/>
  <c r="D10" i="6"/>
  <c r="D9" i="6" s="1"/>
  <c r="B10" i="6"/>
  <c r="O9" i="6"/>
  <c r="M9" i="6"/>
  <c r="I9" i="6"/>
  <c r="G9" i="6"/>
  <c r="E9" i="6"/>
  <c r="N9" i="6" s="1"/>
  <c r="C9" i="6"/>
  <c r="S8" i="6"/>
  <c r="K8" i="6"/>
  <c r="S7" i="6"/>
  <c r="P7" i="6"/>
  <c r="N7" i="6"/>
  <c r="K7" i="6"/>
  <c r="L7" i="6" s="1"/>
  <c r="D7" i="6"/>
  <c r="B7" i="6"/>
  <c r="B6" i="6" s="1"/>
  <c r="P6" i="6"/>
  <c r="O6" i="6"/>
  <c r="M6" i="6"/>
  <c r="N6" i="6" s="1"/>
  <c r="I6" i="6"/>
  <c r="G6" i="6"/>
  <c r="E6" i="6"/>
  <c r="D6" i="6"/>
  <c r="C6" i="6"/>
  <c r="S50" i="5"/>
  <c r="T50" i="5" s="1"/>
  <c r="R50" i="5"/>
  <c r="K50" i="5"/>
  <c r="L50" i="5" s="1"/>
  <c r="J50" i="5"/>
  <c r="S49" i="5"/>
  <c r="J49" i="5"/>
  <c r="I49" i="5"/>
  <c r="K49" i="5" s="1"/>
  <c r="L49" i="5" s="1"/>
  <c r="D49" i="5"/>
  <c r="C49" i="5"/>
  <c r="B49" i="5"/>
  <c r="T48" i="5"/>
  <c r="S48" i="5"/>
  <c r="K48" i="5"/>
  <c r="J48" i="5" s="1"/>
  <c r="T47" i="5"/>
  <c r="S47" i="5"/>
  <c r="K47" i="5"/>
  <c r="S46" i="5"/>
  <c r="R46" i="5"/>
  <c r="P46" i="5"/>
  <c r="N46" i="5"/>
  <c r="K46" i="5"/>
  <c r="H46" i="5" s="1"/>
  <c r="B46" i="5"/>
  <c r="B45" i="5" s="1"/>
  <c r="B43" i="5" s="1"/>
  <c r="S45" i="5"/>
  <c r="O45" i="5"/>
  <c r="N45" i="5"/>
  <c r="M45" i="5"/>
  <c r="M43" i="5" s="1"/>
  <c r="I45" i="5"/>
  <c r="G45" i="5"/>
  <c r="G43" i="5" s="1"/>
  <c r="E45" i="5"/>
  <c r="D45" i="5"/>
  <c r="C45" i="5"/>
  <c r="S44" i="5"/>
  <c r="S43" i="5" s="1"/>
  <c r="K44" i="5"/>
  <c r="O43" i="5"/>
  <c r="E43" i="5"/>
  <c r="D43" i="5"/>
  <c r="C43" i="5"/>
  <c r="S42" i="5"/>
  <c r="R42" i="5"/>
  <c r="K42" i="5"/>
  <c r="S41" i="5"/>
  <c r="R41" i="5"/>
  <c r="N41" i="5"/>
  <c r="K41" i="5"/>
  <c r="S40" i="5"/>
  <c r="R40" i="5"/>
  <c r="K40" i="5"/>
  <c r="S39" i="5"/>
  <c r="R39" i="5"/>
  <c r="N39" i="5"/>
  <c r="K39" i="5"/>
  <c r="J39" i="5" s="1"/>
  <c r="S38" i="5"/>
  <c r="R38" i="5"/>
  <c r="N38" i="5"/>
  <c r="K38" i="5"/>
  <c r="S37" i="5"/>
  <c r="T37" i="5" s="1"/>
  <c r="K37" i="5"/>
  <c r="J37" i="5" s="1"/>
  <c r="T36" i="5"/>
  <c r="S36" i="5"/>
  <c r="K36" i="5"/>
  <c r="J36" i="5" s="1"/>
  <c r="S35" i="5"/>
  <c r="R35" i="5"/>
  <c r="K35" i="5"/>
  <c r="S34" i="5"/>
  <c r="T34" i="5" s="1"/>
  <c r="K34" i="5"/>
  <c r="J34" i="5" s="1"/>
  <c r="S33" i="5"/>
  <c r="R33" i="5"/>
  <c r="N33" i="5"/>
  <c r="K33" i="5"/>
  <c r="S32" i="5"/>
  <c r="T32" i="5" s="1"/>
  <c r="N32" i="5"/>
  <c r="K32" i="5"/>
  <c r="J32" i="5"/>
  <c r="F32" i="5"/>
  <c r="S31" i="5"/>
  <c r="T31" i="5" s="1"/>
  <c r="K31" i="5"/>
  <c r="F31" i="5" s="1"/>
  <c r="J31" i="5"/>
  <c r="S30" i="5"/>
  <c r="T30" i="5" s="1"/>
  <c r="R30" i="5"/>
  <c r="K30" i="5"/>
  <c r="J30" i="5" s="1"/>
  <c r="S29" i="5"/>
  <c r="R29" i="5"/>
  <c r="N29" i="5"/>
  <c r="K29" i="5"/>
  <c r="S28" i="5"/>
  <c r="T28" i="5" s="1"/>
  <c r="R28" i="5"/>
  <c r="N28" i="5"/>
  <c r="K28" i="5"/>
  <c r="F28" i="5" s="1"/>
  <c r="J28" i="5"/>
  <c r="S27" i="5"/>
  <c r="T27" i="5" s="1"/>
  <c r="R27" i="5"/>
  <c r="K27" i="5"/>
  <c r="J27" i="5" s="1"/>
  <c r="F27" i="5"/>
  <c r="S26" i="5"/>
  <c r="R26" i="5"/>
  <c r="K26" i="5"/>
  <c r="S25" i="5"/>
  <c r="R25" i="5"/>
  <c r="N25" i="5"/>
  <c r="K25" i="5"/>
  <c r="J25" i="5" s="1"/>
  <c r="S24" i="5"/>
  <c r="T24" i="5" s="1"/>
  <c r="R24" i="5"/>
  <c r="N24" i="5"/>
  <c r="K24" i="5"/>
  <c r="J24" i="5" s="1"/>
  <c r="S23" i="5"/>
  <c r="R23" i="5"/>
  <c r="N23" i="5"/>
  <c r="K23" i="5"/>
  <c r="V22" i="5"/>
  <c r="T22" i="5"/>
  <c r="S22" i="5"/>
  <c r="R22" i="5"/>
  <c r="P22" i="5"/>
  <c r="N22" i="5"/>
  <c r="K22" i="5"/>
  <c r="J22" i="5" s="1"/>
  <c r="D22" i="5"/>
  <c r="D21" i="5" s="1"/>
  <c r="B22" i="5"/>
  <c r="B21" i="5" s="1"/>
  <c r="W21" i="5"/>
  <c r="Q21" i="5"/>
  <c r="O21" i="5"/>
  <c r="P21" i="5" s="1"/>
  <c r="M21" i="5"/>
  <c r="I21" i="5"/>
  <c r="G21" i="5"/>
  <c r="E21" i="5"/>
  <c r="C21" i="5"/>
  <c r="X20" i="5"/>
  <c r="S20" i="5"/>
  <c r="T20" i="5" s="1"/>
  <c r="R20" i="5"/>
  <c r="P20" i="5"/>
  <c r="N20" i="5"/>
  <c r="L20" i="5"/>
  <c r="K20" i="5"/>
  <c r="J20" i="5" s="1"/>
  <c r="H20" i="5"/>
  <c r="F20" i="5"/>
  <c r="B20" i="5"/>
  <c r="S19" i="5"/>
  <c r="T19" i="5" s="1"/>
  <c r="R19" i="5"/>
  <c r="P19" i="5"/>
  <c r="N19" i="5"/>
  <c r="L19" i="5"/>
  <c r="K19" i="5"/>
  <c r="H19" i="5" s="1"/>
  <c r="B19" i="5"/>
  <c r="B17" i="5" s="1"/>
  <c r="X18" i="5"/>
  <c r="S18" i="5"/>
  <c r="R18" i="5"/>
  <c r="P18" i="5"/>
  <c r="N18" i="5"/>
  <c r="L18" i="5"/>
  <c r="K18" i="5"/>
  <c r="H18" i="5" s="1"/>
  <c r="J18" i="5"/>
  <c r="F18" i="5"/>
  <c r="B18" i="5"/>
  <c r="Q17" i="5"/>
  <c r="O17" i="5"/>
  <c r="M17" i="5"/>
  <c r="I17" i="5"/>
  <c r="G17" i="5"/>
  <c r="E17" i="5"/>
  <c r="D17" i="5"/>
  <c r="C17" i="5"/>
  <c r="X16" i="5"/>
  <c r="W16" i="5"/>
  <c r="S16" i="5"/>
  <c r="T16" i="5" s="1"/>
  <c r="P16" i="5"/>
  <c r="N16" i="5"/>
  <c r="K16" i="5"/>
  <c r="H16" i="5" s="1"/>
  <c r="J16" i="5"/>
  <c r="F16" i="5"/>
  <c r="D16" i="5"/>
  <c r="B16" i="5"/>
  <c r="W15" i="5"/>
  <c r="S15" i="5"/>
  <c r="R15" i="5"/>
  <c r="P15" i="5"/>
  <c r="N15" i="5"/>
  <c r="L15" i="5"/>
  <c r="K15" i="5"/>
  <c r="J15" i="5"/>
  <c r="H15" i="5"/>
  <c r="F15" i="5"/>
  <c r="D15" i="5"/>
  <c r="B15" i="5"/>
  <c r="W14" i="5"/>
  <c r="X14" i="5" s="1"/>
  <c r="O14" i="5"/>
  <c r="M14" i="5"/>
  <c r="K14" i="5"/>
  <c r="I14" i="5"/>
  <c r="R14" i="5" s="1"/>
  <c r="G14" i="5"/>
  <c r="E14" i="5"/>
  <c r="N14" i="5" s="1"/>
  <c r="D14" i="5"/>
  <c r="C14" i="5"/>
  <c r="S13" i="5"/>
  <c r="K13" i="5"/>
  <c r="S12" i="5"/>
  <c r="K12" i="5"/>
  <c r="S11" i="5"/>
  <c r="K11" i="5"/>
  <c r="S10" i="5"/>
  <c r="K10" i="5"/>
  <c r="K9" i="5"/>
  <c r="D9" i="5"/>
  <c r="D8" i="5" s="1"/>
  <c r="B9" i="5"/>
  <c r="W8" i="5"/>
  <c r="W6" i="5" s="1"/>
  <c r="S8" i="5"/>
  <c r="I8" i="5"/>
  <c r="K8" i="5" s="1"/>
  <c r="J8" i="5" s="1"/>
  <c r="C8" i="5"/>
  <c r="C6" i="5" s="1"/>
  <c r="B8" i="5"/>
  <c r="W7" i="5"/>
  <c r="S7" i="5"/>
  <c r="R7" i="5"/>
  <c r="N7" i="5"/>
  <c r="K7" i="5"/>
  <c r="J7" i="5" s="1"/>
  <c r="H7" i="5"/>
  <c r="D7" i="5"/>
  <c r="D6" i="5" s="1"/>
  <c r="B7" i="5"/>
  <c r="B6" i="5" s="1"/>
  <c r="S6" i="5"/>
  <c r="T6" i="5" s="1"/>
  <c r="Q6" i="5"/>
  <c r="O6" i="5"/>
  <c r="M6" i="5"/>
  <c r="K6" i="5"/>
  <c r="I6" i="5"/>
  <c r="G6" i="5"/>
  <c r="E6" i="5"/>
  <c r="S51" i="4"/>
  <c r="R51" i="4"/>
  <c r="K51" i="4"/>
  <c r="D51" i="4"/>
  <c r="B51" i="4"/>
  <c r="B50" i="4" s="1"/>
  <c r="Q50" i="4"/>
  <c r="S50" i="4" s="1"/>
  <c r="T50" i="4" s="1"/>
  <c r="I50" i="4"/>
  <c r="K50" i="4" s="1"/>
  <c r="C50" i="4"/>
  <c r="K49" i="4"/>
  <c r="K48" i="4"/>
  <c r="J48" i="4"/>
  <c r="T47" i="4"/>
  <c r="S47" i="4"/>
  <c r="R47" i="4"/>
  <c r="P47" i="4"/>
  <c r="N47" i="4"/>
  <c r="K47" i="4"/>
  <c r="J47" i="4" s="1"/>
  <c r="H47" i="4"/>
  <c r="F47" i="4"/>
  <c r="D47" i="4"/>
  <c r="B47" i="4"/>
  <c r="S46" i="4"/>
  <c r="R46" i="4"/>
  <c r="Q46" i="4"/>
  <c r="O46" i="4"/>
  <c r="M46" i="4"/>
  <c r="N46" i="4" s="1"/>
  <c r="I46" i="4"/>
  <c r="G46" i="4"/>
  <c r="P46" i="4" s="1"/>
  <c r="E46" i="4"/>
  <c r="D46" i="4"/>
  <c r="D44" i="4" s="1"/>
  <c r="C46" i="4"/>
  <c r="C44" i="4" s="1"/>
  <c r="B46" i="4"/>
  <c r="K45" i="4"/>
  <c r="J45" i="4"/>
  <c r="D45" i="4"/>
  <c r="B45" i="4"/>
  <c r="S44" i="4"/>
  <c r="R44" i="4"/>
  <c r="Q44" i="4"/>
  <c r="O44" i="4"/>
  <c r="M44" i="4"/>
  <c r="N44" i="4" s="1"/>
  <c r="I44" i="4"/>
  <c r="E44" i="4"/>
  <c r="B44" i="4"/>
  <c r="K43" i="4"/>
  <c r="F43" i="4"/>
  <c r="K42" i="4"/>
  <c r="K41" i="4"/>
  <c r="S40" i="4"/>
  <c r="R40" i="4"/>
  <c r="K40" i="4"/>
  <c r="J40" i="4" s="1"/>
  <c r="K39" i="4"/>
  <c r="F39" i="4" s="1"/>
  <c r="J39" i="4"/>
  <c r="S38" i="4"/>
  <c r="N38" i="4"/>
  <c r="K38" i="4"/>
  <c r="J38" i="4" s="1"/>
  <c r="K37" i="4"/>
  <c r="K36" i="4"/>
  <c r="S35" i="4"/>
  <c r="N35" i="4"/>
  <c r="K35" i="4"/>
  <c r="K34" i="4"/>
  <c r="K33" i="4"/>
  <c r="F33" i="4" s="1"/>
  <c r="K32" i="4"/>
  <c r="S31" i="4"/>
  <c r="N31" i="4"/>
  <c r="K31" i="4"/>
  <c r="K30" i="4"/>
  <c r="F30" i="4" s="1"/>
  <c r="S29" i="4"/>
  <c r="R29" i="4"/>
  <c r="N29" i="4"/>
  <c r="K29" i="4"/>
  <c r="J29" i="4" s="1"/>
  <c r="F29" i="4"/>
  <c r="S28" i="4"/>
  <c r="N28" i="4"/>
  <c r="K28" i="4"/>
  <c r="K27" i="4"/>
  <c r="K26" i="4"/>
  <c r="J26" i="4" s="1"/>
  <c r="K25" i="4"/>
  <c r="K24" i="4"/>
  <c r="S23" i="4"/>
  <c r="R23" i="4"/>
  <c r="N23" i="4"/>
  <c r="K23" i="4"/>
  <c r="S22" i="4"/>
  <c r="R22" i="4"/>
  <c r="P22" i="4"/>
  <c r="N22" i="4"/>
  <c r="K22" i="4"/>
  <c r="F22" i="4"/>
  <c r="D22" i="4"/>
  <c r="D21" i="4" s="1"/>
  <c r="B22" i="4"/>
  <c r="R21" i="4"/>
  <c r="Q21" i="4"/>
  <c r="O21" i="4"/>
  <c r="M21" i="4"/>
  <c r="I21" i="4"/>
  <c r="G21" i="4"/>
  <c r="E21" i="4"/>
  <c r="C21" i="4"/>
  <c r="B21" i="4"/>
  <c r="S20" i="4"/>
  <c r="R20" i="4"/>
  <c r="P20" i="4"/>
  <c r="N20" i="4"/>
  <c r="K20" i="4"/>
  <c r="J20" i="4" s="1"/>
  <c r="D20" i="4"/>
  <c r="B20" i="4"/>
  <c r="S19" i="4"/>
  <c r="R19" i="4"/>
  <c r="P19" i="4"/>
  <c r="N19" i="4"/>
  <c r="K19" i="4"/>
  <c r="J19" i="4" s="1"/>
  <c r="D19" i="4"/>
  <c r="B19" i="4"/>
  <c r="S18" i="4"/>
  <c r="R18" i="4"/>
  <c r="P18" i="4"/>
  <c r="N18" i="4"/>
  <c r="K18" i="4"/>
  <c r="J18" i="4" s="1"/>
  <c r="D18" i="4"/>
  <c r="D17" i="4" s="1"/>
  <c r="B18" i="4"/>
  <c r="Q17" i="4"/>
  <c r="O17" i="4"/>
  <c r="M17" i="4"/>
  <c r="S17" i="4" s="1"/>
  <c r="I17" i="4"/>
  <c r="G17" i="4"/>
  <c r="P17" i="4" s="1"/>
  <c r="E17" i="4"/>
  <c r="C17" i="4"/>
  <c r="S16" i="4"/>
  <c r="T16" i="4" s="1"/>
  <c r="R16" i="4"/>
  <c r="P16" i="4"/>
  <c r="N16" i="4"/>
  <c r="L16" i="4"/>
  <c r="K16" i="4"/>
  <c r="J16" i="4" s="1"/>
  <c r="F16" i="4"/>
  <c r="D16" i="4"/>
  <c r="B16" i="4"/>
  <c r="S15" i="4"/>
  <c r="P15" i="4"/>
  <c r="N15" i="4"/>
  <c r="K15" i="4"/>
  <c r="D15" i="4"/>
  <c r="B15" i="4"/>
  <c r="Q14" i="4"/>
  <c r="O14" i="4"/>
  <c r="M14" i="4"/>
  <c r="I14" i="4"/>
  <c r="G14" i="4"/>
  <c r="E14" i="4"/>
  <c r="D14" i="4"/>
  <c r="C14" i="4"/>
  <c r="K13" i="4"/>
  <c r="J13" i="4"/>
  <c r="K12" i="4"/>
  <c r="J12" i="4" s="1"/>
  <c r="K11" i="4"/>
  <c r="J11" i="4"/>
  <c r="K10" i="4"/>
  <c r="J10" i="4" s="1"/>
  <c r="S9" i="4"/>
  <c r="L9" i="4"/>
  <c r="K9" i="4"/>
  <c r="F9" i="4" s="1"/>
  <c r="B9" i="4"/>
  <c r="B8" i="4" s="1"/>
  <c r="S8" i="4"/>
  <c r="I8" i="4"/>
  <c r="D8" i="4"/>
  <c r="C8" i="4"/>
  <c r="S7" i="4"/>
  <c r="S6" i="4" s="1"/>
  <c r="N7" i="4"/>
  <c r="K7" i="4"/>
  <c r="D7" i="4"/>
  <c r="D6" i="4" s="1"/>
  <c r="B7" i="4"/>
  <c r="Q6" i="4"/>
  <c r="O6" i="4"/>
  <c r="M6" i="4"/>
  <c r="G6" i="4"/>
  <c r="E6" i="4"/>
  <c r="C6" i="4"/>
  <c r="S51" i="3"/>
  <c r="T51" i="3" s="1"/>
  <c r="R51" i="3"/>
  <c r="K51" i="3"/>
  <c r="L51" i="3" s="1"/>
  <c r="J51" i="3"/>
  <c r="B51" i="3"/>
  <c r="B50" i="3" s="1"/>
  <c r="Q50" i="3"/>
  <c r="I50" i="3"/>
  <c r="D50" i="3"/>
  <c r="C50" i="3"/>
  <c r="K49" i="3"/>
  <c r="J49" i="3" s="1"/>
  <c r="K48" i="3"/>
  <c r="J48" i="3"/>
  <c r="S47" i="3"/>
  <c r="T47" i="3" s="1"/>
  <c r="P47" i="3"/>
  <c r="N47" i="3"/>
  <c r="K47" i="3"/>
  <c r="J47" i="3" s="1"/>
  <c r="H47" i="3"/>
  <c r="F47" i="3"/>
  <c r="D47" i="3"/>
  <c r="B47" i="3"/>
  <c r="S46" i="3"/>
  <c r="O46" i="3"/>
  <c r="M46" i="3"/>
  <c r="I46" i="3"/>
  <c r="G46" i="3"/>
  <c r="P46" i="3" s="1"/>
  <c r="E46" i="3"/>
  <c r="D46" i="3"/>
  <c r="C46" i="3"/>
  <c r="B46" i="3"/>
  <c r="S45" i="3"/>
  <c r="S44" i="3" s="1"/>
  <c r="K45" i="3"/>
  <c r="H45" i="3" s="1"/>
  <c r="J45" i="3"/>
  <c r="D45" i="3"/>
  <c r="B45" i="3"/>
  <c r="O44" i="3"/>
  <c r="G44" i="3"/>
  <c r="D44" i="3"/>
  <c r="C44" i="3"/>
  <c r="S43" i="3"/>
  <c r="K43" i="3"/>
  <c r="S42" i="3"/>
  <c r="N42" i="3"/>
  <c r="K42" i="3"/>
  <c r="S41" i="3"/>
  <c r="K41" i="3"/>
  <c r="J41" i="3" s="1"/>
  <c r="F41" i="3"/>
  <c r="S40" i="3"/>
  <c r="R40" i="3"/>
  <c r="K40" i="3"/>
  <c r="S39" i="3"/>
  <c r="T39" i="3" s="1"/>
  <c r="R39" i="3"/>
  <c r="N39" i="3"/>
  <c r="K39" i="3"/>
  <c r="J39" i="3"/>
  <c r="F39" i="3"/>
  <c r="S38" i="3"/>
  <c r="N38" i="3"/>
  <c r="K38" i="3"/>
  <c r="S37" i="3"/>
  <c r="K37" i="3"/>
  <c r="S36" i="3"/>
  <c r="K36" i="3"/>
  <c r="S35" i="3"/>
  <c r="T35" i="3" s="1"/>
  <c r="R35" i="3"/>
  <c r="K35" i="3"/>
  <c r="J35" i="3"/>
  <c r="F35" i="3"/>
  <c r="S34" i="3"/>
  <c r="N34" i="3"/>
  <c r="K34" i="3"/>
  <c r="S33" i="3"/>
  <c r="T33" i="3" s="1"/>
  <c r="N33" i="3"/>
  <c r="K33" i="3"/>
  <c r="J33" i="3"/>
  <c r="F33" i="3"/>
  <c r="S32" i="3"/>
  <c r="N32" i="3"/>
  <c r="K32" i="3"/>
  <c r="S31" i="3"/>
  <c r="T31" i="3" s="1"/>
  <c r="R31" i="3"/>
  <c r="K31" i="3"/>
  <c r="J31" i="3"/>
  <c r="F31" i="3"/>
  <c r="S30" i="3"/>
  <c r="R30" i="3"/>
  <c r="K30" i="3"/>
  <c r="S29" i="3"/>
  <c r="K29" i="3"/>
  <c r="S28" i="3"/>
  <c r="R28" i="3"/>
  <c r="N28" i="3"/>
  <c r="K28" i="3"/>
  <c r="S27" i="3"/>
  <c r="T27" i="3" s="1"/>
  <c r="N27" i="3"/>
  <c r="K27" i="3"/>
  <c r="J27" i="3"/>
  <c r="F27" i="3"/>
  <c r="S26" i="3"/>
  <c r="T26" i="3" s="1"/>
  <c r="N26" i="3"/>
  <c r="K26" i="3"/>
  <c r="S25" i="3"/>
  <c r="K25" i="3"/>
  <c r="S24" i="3"/>
  <c r="T24" i="3" s="1"/>
  <c r="R24" i="3"/>
  <c r="K24" i="3"/>
  <c r="F24" i="3" s="1"/>
  <c r="J24" i="3"/>
  <c r="S23" i="3"/>
  <c r="T23" i="3" s="1"/>
  <c r="R23" i="3"/>
  <c r="N23" i="3"/>
  <c r="K23" i="3"/>
  <c r="J23" i="3"/>
  <c r="F23" i="3"/>
  <c r="S22" i="3"/>
  <c r="R22" i="3"/>
  <c r="P22" i="3"/>
  <c r="N22" i="3"/>
  <c r="K22" i="3"/>
  <c r="H22" i="3" s="1"/>
  <c r="D22" i="3"/>
  <c r="D21" i="3" s="1"/>
  <c r="B22" i="3"/>
  <c r="B21" i="3" s="1"/>
  <c r="R21" i="3"/>
  <c r="Q21" i="3"/>
  <c r="O21" i="3"/>
  <c r="M21" i="3"/>
  <c r="I21" i="3"/>
  <c r="G21" i="3"/>
  <c r="E21" i="3"/>
  <c r="N21" i="3" s="1"/>
  <c r="C21" i="3"/>
  <c r="S20" i="3"/>
  <c r="R20" i="3"/>
  <c r="P20" i="3"/>
  <c r="N20" i="3"/>
  <c r="K20" i="3"/>
  <c r="T20" i="3" s="1"/>
  <c r="J20" i="3"/>
  <c r="D20" i="3"/>
  <c r="B20" i="3"/>
  <c r="S19" i="3"/>
  <c r="R19" i="3"/>
  <c r="P19" i="3"/>
  <c r="N19" i="3"/>
  <c r="K19" i="3"/>
  <c r="T19" i="3" s="1"/>
  <c r="J19" i="3"/>
  <c r="D19" i="3"/>
  <c r="B19" i="3"/>
  <c r="S18" i="3"/>
  <c r="R18" i="3"/>
  <c r="P18" i="3"/>
  <c r="N18" i="3"/>
  <c r="K18" i="3"/>
  <c r="H18" i="3" s="1"/>
  <c r="J18" i="3"/>
  <c r="D18" i="3"/>
  <c r="D17" i="3" s="1"/>
  <c r="B18" i="3"/>
  <c r="B17" i="3" s="1"/>
  <c r="Q17" i="3"/>
  <c r="O17" i="3"/>
  <c r="P17" i="3" s="1"/>
  <c r="M17" i="3"/>
  <c r="I17" i="3"/>
  <c r="G17" i="3"/>
  <c r="E17" i="3"/>
  <c r="C17" i="3"/>
  <c r="S16" i="3"/>
  <c r="T16" i="3" s="1"/>
  <c r="P16" i="3"/>
  <c r="N16" i="3"/>
  <c r="K16" i="3"/>
  <c r="H16" i="3" s="1"/>
  <c r="J16" i="3"/>
  <c r="D16" i="3"/>
  <c r="B16" i="3"/>
  <c r="S15" i="3"/>
  <c r="R15" i="3"/>
  <c r="P15" i="3"/>
  <c r="N15" i="3"/>
  <c r="K15" i="3"/>
  <c r="L15" i="3" s="1"/>
  <c r="J15" i="3"/>
  <c r="H15" i="3"/>
  <c r="F15" i="3"/>
  <c r="D15" i="3"/>
  <c r="B15" i="3"/>
  <c r="B14" i="3" s="1"/>
  <c r="S14" i="3"/>
  <c r="Q14" i="3"/>
  <c r="O14" i="3"/>
  <c r="M14" i="3"/>
  <c r="K14" i="3"/>
  <c r="I14" i="3"/>
  <c r="G14" i="3"/>
  <c r="E14" i="3"/>
  <c r="D14" i="3"/>
  <c r="C14" i="3"/>
  <c r="K13" i="3"/>
  <c r="J13" i="3"/>
  <c r="K12" i="3"/>
  <c r="K11" i="3"/>
  <c r="J11" i="3"/>
  <c r="K10" i="3"/>
  <c r="J10" i="3" s="1"/>
  <c r="S9" i="3"/>
  <c r="K9" i="3"/>
  <c r="L9" i="3" s="1"/>
  <c r="J9" i="3"/>
  <c r="B9" i="3"/>
  <c r="S8" i="3"/>
  <c r="I8" i="3"/>
  <c r="D8" i="3"/>
  <c r="C8" i="3"/>
  <c r="C6" i="3" s="1"/>
  <c r="C54" i="3" s="1"/>
  <c r="B8" i="3"/>
  <c r="S7" i="3"/>
  <c r="T7" i="3" s="1"/>
  <c r="P7" i="3"/>
  <c r="N7" i="3"/>
  <c r="K7" i="3"/>
  <c r="H7" i="3" s="1"/>
  <c r="J7" i="3"/>
  <c r="D7" i="3"/>
  <c r="B7" i="3"/>
  <c r="B6" i="3" s="1"/>
  <c r="Q6" i="3"/>
  <c r="O6" i="3"/>
  <c r="M6" i="3"/>
  <c r="G6" i="3"/>
  <c r="P6" i="3" s="1"/>
  <c r="E6" i="3"/>
  <c r="D6" i="3"/>
  <c r="T54" i="2"/>
  <c r="S54" i="2"/>
  <c r="K54" i="2"/>
  <c r="L54" i="2" s="1"/>
  <c r="Q53" i="2"/>
  <c r="P53" i="2"/>
  <c r="O53" i="2"/>
  <c r="N53" i="2"/>
  <c r="M53" i="2"/>
  <c r="S53" i="2" s="1"/>
  <c r="I53" i="2"/>
  <c r="H53" i="2"/>
  <c r="G53" i="2"/>
  <c r="F53" i="2"/>
  <c r="E53" i="2"/>
  <c r="K53" i="2" s="1"/>
  <c r="D53" i="2"/>
  <c r="C53" i="2"/>
  <c r="B53" i="2"/>
  <c r="S52" i="2"/>
  <c r="T52" i="2" s="1"/>
  <c r="R52" i="2"/>
  <c r="K52" i="2"/>
  <c r="D52" i="2"/>
  <c r="B52" i="2"/>
  <c r="B51" i="2" s="1"/>
  <c r="Q51" i="2"/>
  <c r="S51" i="2" s="1"/>
  <c r="L51" i="2"/>
  <c r="I51" i="2"/>
  <c r="K51" i="2" s="1"/>
  <c r="T51" i="2" s="1"/>
  <c r="D51" i="2"/>
  <c r="C51" i="2"/>
  <c r="S50" i="2"/>
  <c r="T50" i="2" s="1"/>
  <c r="K50" i="2"/>
  <c r="S49" i="2"/>
  <c r="K49" i="2"/>
  <c r="S48" i="2"/>
  <c r="T48" i="2" s="1"/>
  <c r="P48" i="2"/>
  <c r="N48" i="2"/>
  <c r="K48" i="2"/>
  <c r="L48" i="2" s="1"/>
  <c r="J48" i="2"/>
  <c r="H48" i="2"/>
  <c r="D48" i="2"/>
  <c r="B48" i="2"/>
  <c r="O47" i="2"/>
  <c r="O45" i="2" s="1"/>
  <c r="P45" i="2" s="1"/>
  <c r="M47" i="2"/>
  <c r="N47" i="2" s="1"/>
  <c r="I47" i="2"/>
  <c r="G47" i="2"/>
  <c r="G45" i="2" s="1"/>
  <c r="E47" i="2"/>
  <c r="D47" i="2"/>
  <c r="C47" i="2"/>
  <c r="C45" i="2" s="1"/>
  <c r="B47" i="2"/>
  <c r="S46" i="2"/>
  <c r="K46" i="2"/>
  <c r="B46" i="2"/>
  <c r="M45" i="2"/>
  <c r="N45" i="2" s="1"/>
  <c r="E45" i="2"/>
  <c r="D45" i="2"/>
  <c r="S44" i="2"/>
  <c r="T44" i="2" s="1"/>
  <c r="N44" i="2"/>
  <c r="K44" i="2"/>
  <c r="J44" i="2"/>
  <c r="F44" i="2"/>
  <c r="S43" i="2"/>
  <c r="N43" i="2"/>
  <c r="K43" i="2"/>
  <c r="S42" i="2"/>
  <c r="T42" i="2" s="1"/>
  <c r="N42" i="2"/>
  <c r="K42" i="2"/>
  <c r="J42" i="2"/>
  <c r="F42" i="2"/>
  <c r="S41" i="2"/>
  <c r="N41" i="2"/>
  <c r="K41" i="2"/>
  <c r="S40" i="2"/>
  <c r="T40" i="2" s="1"/>
  <c r="R40" i="2"/>
  <c r="K40" i="2"/>
  <c r="J40" i="2"/>
  <c r="F40" i="2"/>
  <c r="S39" i="2"/>
  <c r="N39" i="2"/>
  <c r="K39" i="2"/>
  <c r="S38" i="2"/>
  <c r="T38" i="2" s="1"/>
  <c r="N38" i="2"/>
  <c r="K38" i="2"/>
  <c r="J38" i="2"/>
  <c r="F38" i="2"/>
  <c r="S37" i="2"/>
  <c r="K37" i="2"/>
  <c r="F37" i="2" s="1"/>
  <c r="J37" i="2"/>
  <c r="S36" i="2"/>
  <c r="N36" i="2"/>
  <c r="K36" i="2"/>
  <c r="J36" i="2"/>
  <c r="F36" i="2"/>
  <c r="S35" i="2"/>
  <c r="R35" i="2"/>
  <c r="N35" i="2"/>
  <c r="K35" i="2"/>
  <c r="S34" i="2"/>
  <c r="N34" i="2"/>
  <c r="K34" i="2"/>
  <c r="S33" i="2"/>
  <c r="R33" i="2"/>
  <c r="N33" i="2"/>
  <c r="K33" i="2"/>
  <c r="J33" i="2"/>
  <c r="F33" i="2"/>
  <c r="S32" i="2"/>
  <c r="N32" i="2"/>
  <c r="K32" i="2"/>
  <c r="S31" i="2"/>
  <c r="T31" i="2" s="1"/>
  <c r="K31" i="2"/>
  <c r="S30" i="2"/>
  <c r="T30" i="2" s="1"/>
  <c r="N30" i="2"/>
  <c r="K30" i="2"/>
  <c r="J30" i="2" s="1"/>
  <c r="F30" i="2"/>
  <c r="S29" i="2"/>
  <c r="K29" i="2"/>
  <c r="F29" i="2" s="1"/>
  <c r="S28" i="2"/>
  <c r="T28" i="2" s="1"/>
  <c r="N28" i="2"/>
  <c r="K28" i="2"/>
  <c r="J28" i="2" s="1"/>
  <c r="F28" i="2"/>
  <c r="S27" i="2"/>
  <c r="T27" i="2" s="1"/>
  <c r="R27" i="2"/>
  <c r="K27" i="2"/>
  <c r="S26" i="2"/>
  <c r="N26" i="2"/>
  <c r="K26" i="2"/>
  <c r="T25" i="2"/>
  <c r="S25" i="2"/>
  <c r="N25" i="2"/>
  <c r="K25" i="2"/>
  <c r="F25" i="2" s="1"/>
  <c r="J25" i="2"/>
  <c r="S24" i="2"/>
  <c r="R24" i="2"/>
  <c r="N24" i="2"/>
  <c r="K24" i="2"/>
  <c r="J24" i="2" s="1"/>
  <c r="F24" i="2"/>
  <c r="S23" i="2"/>
  <c r="T23" i="2" s="1"/>
  <c r="N23" i="2"/>
  <c r="K23" i="2"/>
  <c r="S22" i="2"/>
  <c r="T22" i="2" s="1"/>
  <c r="R22" i="2"/>
  <c r="P22" i="2"/>
  <c r="N22" i="2"/>
  <c r="L22" i="2"/>
  <c r="K22" i="2"/>
  <c r="J22" i="2" s="1"/>
  <c r="F22" i="2"/>
  <c r="D22" i="2"/>
  <c r="B22" i="2"/>
  <c r="Q21" i="2"/>
  <c r="O21" i="2"/>
  <c r="P21" i="2" s="1"/>
  <c r="M21" i="2"/>
  <c r="I21" i="2"/>
  <c r="G21" i="2"/>
  <c r="E21" i="2"/>
  <c r="D21" i="2"/>
  <c r="C21" i="2"/>
  <c r="B21" i="2"/>
  <c r="S20" i="2"/>
  <c r="R20" i="2"/>
  <c r="P20" i="2"/>
  <c r="N20" i="2"/>
  <c r="K20" i="2"/>
  <c r="F20" i="2" s="1"/>
  <c r="D20" i="2"/>
  <c r="B20" i="2"/>
  <c r="S19" i="2"/>
  <c r="P19" i="2"/>
  <c r="N19" i="2"/>
  <c r="K19" i="2"/>
  <c r="J19" i="2" s="1"/>
  <c r="D19" i="2"/>
  <c r="B19" i="2"/>
  <c r="S18" i="2"/>
  <c r="R18" i="2"/>
  <c r="P18" i="2"/>
  <c r="N18" i="2"/>
  <c r="K18" i="2"/>
  <c r="J18" i="2" s="1"/>
  <c r="D18" i="2"/>
  <c r="B18" i="2"/>
  <c r="B17" i="2" s="1"/>
  <c r="Q17" i="2"/>
  <c r="O17" i="2"/>
  <c r="M17" i="2"/>
  <c r="N17" i="2" s="1"/>
  <c r="I17" i="2"/>
  <c r="R17" i="2" s="1"/>
  <c r="G17" i="2"/>
  <c r="K17" i="2" s="1"/>
  <c r="E17" i="2"/>
  <c r="C17" i="2"/>
  <c r="S16" i="2"/>
  <c r="N16" i="2"/>
  <c r="L16" i="2"/>
  <c r="K16" i="2"/>
  <c r="F16" i="2" s="1"/>
  <c r="H16" i="2"/>
  <c r="D16" i="2"/>
  <c r="D14" i="2" s="1"/>
  <c r="B16" i="2"/>
  <c r="S15" i="2"/>
  <c r="R15" i="2"/>
  <c r="P15" i="2"/>
  <c r="N15" i="2"/>
  <c r="K15" i="2"/>
  <c r="D15" i="2"/>
  <c r="B15" i="2"/>
  <c r="S14" i="2"/>
  <c r="Q14" i="2"/>
  <c r="R14" i="2" s="1"/>
  <c r="O14" i="2"/>
  <c r="M14" i="2"/>
  <c r="N14" i="2" s="1"/>
  <c r="I14" i="2"/>
  <c r="G14" i="2"/>
  <c r="E14" i="2"/>
  <c r="C14" i="2"/>
  <c r="B14" i="2"/>
  <c r="S13" i="2"/>
  <c r="T13" i="2" s="1"/>
  <c r="K13" i="2"/>
  <c r="J13" i="2" s="1"/>
  <c r="S12" i="2"/>
  <c r="K12" i="2"/>
  <c r="J12" i="2" s="1"/>
  <c r="S11" i="2"/>
  <c r="T11" i="2" s="1"/>
  <c r="K11" i="2"/>
  <c r="J11" i="2" s="1"/>
  <c r="S10" i="2"/>
  <c r="K10" i="2"/>
  <c r="J10" i="2" s="1"/>
  <c r="S9" i="2"/>
  <c r="S8" i="2" s="1"/>
  <c r="R9" i="2"/>
  <c r="K9" i="2"/>
  <c r="J9" i="2"/>
  <c r="D9" i="2"/>
  <c r="L9" i="2" s="1"/>
  <c r="B9" i="2"/>
  <c r="B8" i="2" s="1"/>
  <c r="B6" i="2" s="1"/>
  <c r="Q8" i="2"/>
  <c r="R8" i="2" s="1"/>
  <c r="P8" i="2"/>
  <c r="O8" i="2"/>
  <c r="O6" i="2" s="1"/>
  <c r="N8" i="2"/>
  <c r="M8" i="2"/>
  <c r="K8" i="2"/>
  <c r="J8" i="2" s="1"/>
  <c r="I8" i="2"/>
  <c r="C8" i="2"/>
  <c r="C6" i="2" s="1"/>
  <c r="S7" i="2"/>
  <c r="N7" i="2"/>
  <c r="K7" i="2"/>
  <c r="H7" i="2"/>
  <c r="F7" i="2"/>
  <c r="D7" i="2"/>
  <c r="B7" i="2"/>
  <c r="Q6" i="2"/>
  <c r="M6" i="2"/>
  <c r="I6" i="2"/>
  <c r="R6" i="2" s="1"/>
  <c r="G6" i="2"/>
  <c r="E6" i="2"/>
  <c r="E55" i="2" s="1"/>
  <c r="S14" i="4" l="1"/>
  <c r="T15" i="4"/>
  <c r="M2" i="4"/>
  <c r="S21" i="4"/>
  <c r="N21" i="4"/>
  <c r="F41" i="4"/>
  <c r="J41" i="4"/>
  <c r="L44" i="5"/>
  <c r="J44" i="5"/>
  <c r="M55" i="2"/>
  <c r="N55" i="2" s="1"/>
  <c r="T7" i="2"/>
  <c r="F27" i="2"/>
  <c r="J27" i="2"/>
  <c r="J34" i="2"/>
  <c r="F34" i="2"/>
  <c r="J46" i="2"/>
  <c r="D54" i="3"/>
  <c r="T40" i="3"/>
  <c r="J42" i="3"/>
  <c r="F42" i="3"/>
  <c r="O54" i="4"/>
  <c r="P6" i="4"/>
  <c r="J15" i="4"/>
  <c r="H15" i="4"/>
  <c r="K14" i="4"/>
  <c r="L14" i="4" s="1"/>
  <c r="F15" i="4"/>
  <c r="L15" i="4"/>
  <c r="J25" i="4"/>
  <c r="F25" i="4"/>
  <c r="J40" i="5"/>
  <c r="F40" i="5"/>
  <c r="J47" i="5"/>
  <c r="K45" i="5"/>
  <c r="J29" i="6"/>
  <c r="F29" i="6"/>
  <c r="T32" i="6"/>
  <c r="J32" i="6"/>
  <c r="F32" i="6"/>
  <c r="L44" i="6"/>
  <c r="I45" i="2"/>
  <c r="I55" i="2" s="1"/>
  <c r="J29" i="3"/>
  <c r="F29" i="3"/>
  <c r="N14" i="4"/>
  <c r="J32" i="4"/>
  <c r="F32" i="4"/>
  <c r="P14" i="5"/>
  <c r="G2" i="5"/>
  <c r="H14" i="5"/>
  <c r="F26" i="5"/>
  <c r="T26" i="5"/>
  <c r="J26" i="5"/>
  <c r="J42" i="5"/>
  <c r="F42" i="5"/>
  <c r="F26" i="6"/>
  <c r="J26" i="6"/>
  <c r="N6" i="2"/>
  <c r="L7" i="2"/>
  <c r="C55" i="2"/>
  <c r="L14" i="2"/>
  <c r="T20" i="2"/>
  <c r="J26" i="2"/>
  <c r="F26" i="2"/>
  <c r="T32" i="2"/>
  <c r="K8" i="3"/>
  <c r="L8" i="3" s="1"/>
  <c r="I6" i="3"/>
  <c r="J25" i="3"/>
  <c r="F25" i="3"/>
  <c r="Q2" i="4"/>
  <c r="R14" i="4"/>
  <c r="F36" i="4"/>
  <c r="J36" i="4"/>
  <c r="G51" i="5"/>
  <c r="H6" i="5"/>
  <c r="J14" i="5"/>
  <c r="F14" i="5"/>
  <c r="P17" i="5"/>
  <c r="O2" i="5"/>
  <c r="K43" i="5"/>
  <c r="F43" i="5" s="1"/>
  <c r="I43" i="5"/>
  <c r="J45" i="5"/>
  <c r="D50" i="6"/>
  <c r="P9" i="6"/>
  <c r="T11" i="6"/>
  <c r="J18" i="6"/>
  <c r="H18" i="6"/>
  <c r="L18" i="6"/>
  <c r="F18" i="6"/>
  <c r="J28" i="6"/>
  <c r="F28" i="6"/>
  <c r="J15" i="2"/>
  <c r="H15" i="2"/>
  <c r="K14" i="2"/>
  <c r="J14" i="2" s="1"/>
  <c r="T15" i="2"/>
  <c r="F15" i="2"/>
  <c r="L15" i="2"/>
  <c r="F32" i="2"/>
  <c r="J32" i="2"/>
  <c r="F43" i="3"/>
  <c r="J43" i="3"/>
  <c r="Q55" i="2"/>
  <c r="P14" i="2"/>
  <c r="G54" i="3"/>
  <c r="L14" i="3"/>
  <c r="F40" i="3"/>
  <c r="J40" i="3"/>
  <c r="S54" i="4"/>
  <c r="J35" i="4"/>
  <c r="F35" i="4"/>
  <c r="H11" i="6"/>
  <c r="J11" i="6"/>
  <c r="F11" i="6"/>
  <c r="L11" i="6"/>
  <c r="J31" i="6"/>
  <c r="F31" i="6"/>
  <c r="F34" i="6"/>
  <c r="J34" i="6"/>
  <c r="T10" i="2"/>
  <c r="T12" i="2"/>
  <c r="D17" i="2"/>
  <c r="R21" i="2"/>
  <c r="H22" i="2"/>
  <c r="T24" i="2"/>
  <c r="J29" i="2"/>
  <c r="T33" i="2"/>
  <c r="K47" i="2"/>
  <c r="L47" i="2" s="1"/>
  <c r="J54" i="2"/>
  <c r="F14" i="3"/>
  <c r="N14" i="3"/>
  <c r="T18" i="3"/>
  <c r="P21" i="3"/>
  <c r="T25" i="3"/>
  <c r="T29" i="3"/>
  <c r="P44" i="3"/>
  <c r="B6" i="4"/>
  <c r="H16" i="4"/>
  <c r="F26" i="4"/>
  <c r="T29" i="4"/>
  <c r="T38" i="4"/>
  <c r="L45" i="4"/>
  <c r="O51" i="5"/>
  <c r="P51" i="5" s="1"/>
  <c r="L14" i="5"/>
  <c r="B14" i="5"/>
  <c r="F19" i="5"/>
  <c r="X19" i="5"/>
  <c r="R21" i="5"/>
  <c r="F22" i="5"/>
  <c r="F25" i="5"/>
  <c r="F36" i="5"/>
  <c r="N43" i="5"/>
  <c r="P45" i="5"/>
  <c r="J46" i="5"/>
  <c r="P17" i="6"/>
  <c r="T18" i="6"/>
  <c r="F25" i="6"/>
  <c r="N44" i="6"/>
  <c r="P17" i="2"/>
  <c r="L20" i="2"/>
  <c r="T26" i="2"/>
  <c r="T34" i="2"/>
  <c r="T37" i="2"/>
  <c r="T39" i="2"/>
  <c r="T41" i="2"/>
  <c r="T43" i="2"/>
  <c r="B45" i="2"/>
  <c r="B55" i="2" s="1"/>
  <c r="B54" i="3"/>
  <c r="F16" i="3"/>
  <c r="L16" i="3"/>
  <c r="J22" i="3"/>
  <c r="T42" i="3"/>
  <c r="B44" i="3"/>
  <c r="J9" i="4"/>
  <c r="B14" i="4"/>
  <c r="T35" i="4"/>
  <c r="F38" i="4"/>
  <c r="T40" i="4"/>
  <c r="O2" i="4"/>
  <c r="J50" i="4"/>
  <c r="T51" i="4"/>
  <c r="P6" i="5"/>
  <c r="L8" i="5"/>
  <c r="X15" i="5"/>
  <c r="L16" i="5"/>
  <c r="T18" i="5"/>
  <c r="J19" i="5"/>
  <c r="T25" i="5"/>
  <c r="T39" i="5"/>
  <c r="T40" i="5"/>
  <c r="T42" i="5"/>
  <c r="T46" i="5"/>
  <c r="H7" i="6"/>
  <c r="T7" i="6"/>
  <c r="F19" i="6"/>
  <c r="T16" i="2"/>
  <c r="N21" i="2"/>
  <c r="T29" i="2"/>
  <c r="T36" i="2"/>
  <c r="L53" i="2"/>
  <c r="R14" i="3"/>
  <c r="T15" i="3"/>
  <c r="T22" i="3"/>
  <c r="T45" i="3"/>
  <c r="L47" i="3"/>
  <c r="M54" i="4"/>
  <c r="E2" i="4"/>
  <c r="X6" i="5"/>
  <c r="M2" i="5"/>
  <c r="H45" i="5"/>
  <c r="J44" i="6"/>
  <c r="T44" i="6"/>
  <c r="S6" i="2"/>
  <c r="T8" i="2"/>
  <c r="O55" i="2"/>
  <c r="P6" i="2"/>
  <c r="J17" i="2"/>
  <c r="F17" i="2"/>
  <c r="L17" i="2"/>
  <c r="J35" i="2"/>
  <c r="F35" i="2"/>
  <c r="J53" i="2"/>
  <c r="P14" i="3"/>
  <c r="O2" i="3"/>
  <c r="P2" i="3" s="1"/>
  <c r="K17" i="3"/>
  <c r="L17" i="3" s="1"/>
  <c r="H7" i="4"/>
  <c r="J7" i="4"/>
  <c r="F7" i="4"/>
  <c r="L7" i="4"/>
  <c r="H14" i="4"/>
  <c r="J49" i="4"/>
  <c r="K46" i="4"/>
  <c r="J7" i="2"/>
  <c r="D8" i="2"/>
  <c r="D6" i="2" s="1"/>
  <c r="D55" i="2" s="1"/>
  <c r="L8" i="2"/>
  <c r="T9" i="2"/>
  <c r="J16" i="2"/>
  <c r="H17" i="2"/>
  <c r="T19" i="2"/>
  <c r="J20" i="2"/>
  <c r="H20" i="2"/>
  <c r="J52" i="2"/>
  <c r="L52" i="2"/>
  <c r="T53" i="2"/>
  <c r="R53" i="2"/>
  <c r="J14" i="3"/>
  <c r="S17" i="3"/>
  <c r="N17" i="3"/>
  <c r="T30" i="3"/>
  <c r="J37" i="3"/>
  <c r="F37" i="3"/>
  <c r="E44" i="3"/>
  <c r="O54" i="3"/>
  <c r="C54" i="4"/>
  <c r="K17" i="4"/>
  <c r="F17" i="4" s="1"/>
  <c r="R17" i="4"/>
  <c r="F27" i="4"/>
  <c r="J27" i="4"/>
  <c r="D51" i="5"/>
  <c r="L6" i="5"/>
  <c r="I51" i="5"/>
  <c r="J6" i="5"/>
  <c r="T35" i="2"/>
  <c r="G2" i="3"/>
  <c r="H14" i="3"/>
  <c r="M44" i="3"/>
  <c r="N44" i="3" s="1"/>
  <c r="N46" i="3"/>
  <c r="S50" i="3"/>
  <c r="R50" i="3"/>
  <c r="T31" i="4"/>
  <c r="J31" i="4"/>
  <c r="F31" i="4"/>
  <c r="R17" i="5"/>
  <c r="Q2" i="5"/>
  <c r="F14" i="2"/>
  <c r="S17" i="2"/>
  <c r="T17" i="2" s="1"/>
  <c r="H18" i="2"/>
  <c r="L18" i="2"/>
  <c r="F18" i="2"/>
  <c r="T18" i="2"/>
  <c r="H19" i="2"/>
  <c r="L19" i="2"/>
  <c r="F19" i="2"/>
  <c r="K21" i="2"/>
  <c r="J21" i="2" s="1"/>
  <c r="S21" i="2"/>
  <c r="J23" i="2"/>
  <c r="F23" i="2"/>
  <c r="J31" i="2"/>
  <c r="F31" i="2"/>
  <c r="J39" i="2"/>
  <c r="F39" i="2"/>
  <c r="J41" i="2"/>
  <c r="F41" i="2"/>
  <c r="J43" i="2"/>
  <c r="F43" i="2"/>
  <c r="S47" i="2"/>
  <c r="J8" i="3"/>
  <c r="T14" i="3"/>
  <c r="F17" i="3"/>
  <c r="J26" i="3"/>
  <c r="F26" i="3"/>
  <c r="J28" i="3"/>
  <c r="F28" i="3"/>
  <c r="T28" i="3"/>
  <c r="S2" i="4"/>
  <c r="K8" i="4"/>
  <c r="L8" i="4" s="1"/>
  <c r="I2" i="4"/>
  <c r="I6" i="4"/>
  <c r="B17" i="4"/>
  <c r="B54" i="4" s="1"/>
  <c r="K21" i="4"/>
  <c r="H21" i="4" s="1"/>
  <c r="F23" i="4"/>
  <c r="J23" i="4"/>
  <c r="T23" i="4"/>
  <c r="G55" i="2"/>
  <c r="K6" i="2"/>
  <c r="H17" i="3"/>
  <c r="Q2" i="3"/>
  <c r="R17" i="3"/>
  <c r="J30" i="3"/>
  <c r="F30" i="3"/>
  <c r="T32" i="3"/>
  <c r="J32" i="3"/>
  <c r="F32" i="3"/>
  <c r="T34" i="3"/>
  <c r="J34" i="3"/>
  <c r="F34" i="3"/>
  <c r="J36" i="3"/>
  <c r="F36" i="3"/>
  <c r="T38" i="3"/>
  <c r="J38" i="3"/>
  <c r="F38" i="3"/>
  <c r="I44" i="3"/>
  <c r="J46" i="3"/>
  <c r="K50" i="3"/>
  <c r="L50" i="3" s="1"/>
  <c r="T7" i="4"/>
  <c r="P14" i="4"/>
  <c r="J34" i="4"/>
  <c r="F34" i="4"/>
  <c r="D50" i="4"/>
  <c r="L50" i="4" s="1"/>
  <c r="L51" i="4"/>
  <c r="E2" i="5"/>
  <c r="K12" i="6"/>
  <c r="L12" i="6" s="1"/>
  <c r="J12" i="6"/>
  <c r="R17" i="6"/>
  <c r="Q2" i="6"/>
  <c r="J24" i="6"/>
  <c r="F24" i="6"/>
  <c r="E54" i="3"/>
  <c r="I54" i="3"/>
  <c r="M54" i="3"/>
  <c r="N54" i="3" s="1"/>
  <c r="Q54" i="3"/>
  <c r="K21" i="3"/>
  <c r="S21" i="3"/>
  <c r="T21" i="3" s="1"/>
  <c r="R2" i="4"/>
  <c r="T21" i="4"/>
  <c r="J22" i="4"/>
  <c r="H22" i="4"/>
  <c r="J24" i="4"/>
  <c r="F24" i="4"/>
  <c r="T28" i="4"/>
  <c r="J28" i="4"/>
  <c r="F28" i="4"/>
  <c r="E51" i="5"/>
  <c r="F6" i="5"/>
  <c r="K17" i="5"/>
  <c r="I2" i="5"/>
  <c r="J23" i="5"/>
  <c r="F23" i="5"/>
  <c r="T23" i="5"/>
  <c r="J43" i="5"/>
  <c r="T10" i="6"/>
  <c r="S9" i="6"/>
  <c r="S12" i="6"/>
  <c r="N12" i="6"/>
  <c r="K17" i="6"/>
  <c r="L17" i="6" s="1"/>
  <c r="J17" i="6"/>
  <c r="J27" i="6"/>
  <c r="F27" i="6"/>
  <c r="J30" i="6"/>
  <c r="H30" i="6"/>
  <c r="F30" i="6"/>
  <c r="L46" i="2"/>
  <c r="P47" i="2"/>
  <c r="T49" i="2"/>
  <c r="J51" i="2"/>
  <c r="R51" i="2"/>
  <c r="N6" i="3"/>
  <c r="S6" i="3"/>
  <c r="F7" i="3"/>
  <c r="L7" i="3"/>
  <c r="F18" i="3"/>
  <c r="L18" i="3"/>
  <c r="F19" i="3"/>
  <c r="L19" i="3"/>
  <c r="F20" i="3"/>
  <c r="L20" i="3"/>
  <c r="F22" i="3"/>
  <c r="L22" i="3"/>
  <c r="F45" i="3"/>
  <c r="L45" i="3"/>
  <c r="K46" i="3"/>
  <c r="F46" i="3" s="1"/>
  <c r="N2" i="4"/>
  <c r="Q54" i="4"/>
  <c r="P21" i="4"/>
  <c r="L22" i="4"/>
  <c r="T22" i="4"/>
  <c r="J30" i="4"/>
  <c r="J33" i="4"/>
  <c r="G44" i="4"/>
  <c r="P44" i="4" s="1"/>
  <c r="R50" i="4"/>
  <c r="Q51" i="5"/>
  <c r="R51" i="5" s="1"/>
  <c r="R6" i="5"/>
  <c r="B51" i="5"/>
  <c r="K48" i="6"/>
  <c r="L48" i="6" s="1"/>
  <c r="J48" i="6"/>
  <c r="F48" i="2"/>
  <c r="K6" i="3"/>
  <c r="J6" i="3" s="1"/>
  <c r="H19" i="3"/>
  <c r="H20" i="3"/>
  <c r="E54" i="4"/>
  <c r="N6" i="4"/>
  <c r="J14" i="4"/>
  <c r="F14" i="4"/>
  <c r="N17" i="4"/>
  <c r="T18" i="4"/>
  <c r="H18" i="4"/>
  <c r="L18" i="4"/>
  <c r="F18" i="4"/>
  <c r="T19" i="4"/>
  <c r="H19" i="4"/>
  <c r="L19" i="4"/>
  <c r="F19" i="4"/>
  <c r="T20" i="4"/>
  <c r="H20" i="4"/>
  <c r="L20" i="4"/>
  <c r="F20" i="4"/>
  <c r="J37" i="4"/>
  <c r="F37" i="4"/>
  <c r="J42" i="4"/>
  <c r="F42" i="4"/>
  <c r="M51" i="5"/>
  <c r="N51" i="5" s="1"/>
  <c r="N6" i="5"/>
  <c r="N2" i="5"/>
  <c r="J35" i="5"/>
  <c r="F35" i="5"/>
  <c r="J43" i="6"/>
  <c r="K42" i="6"/>
  <c r="L42" i="6" s="1"/>
  <c r="L43" i="6"/>
  <c r="J51" i="4"/>
  <c r="T7" i="5"/>
  <c r="S14" i="5"/>
  <c r="T15" i="5"/>
  <c r="S17" i="5"/>
  <c r="N17" i="5"/>
  <c r="K21" i="5"/>
  <c r="H21" i="5" s="1"/>
  <c r="J29" i="5"/>
  <c r="F29" i="5"/>
  <c r="T29" i="5"/>
  <c r="J33" i="5"/>
  <c r="F33" i="5"/>
  <c r="T33" i="5"/>
  <c r="J38" i="5"/>
  <c r="F38" i="5"/>
  <c r="T38" i="5"/>
  <c r="B50" i="6"/>
  <c r="J10" i="6"/>
  <c r="K9" i="6"/>
  <c r="H10" i="6"/>
  <c r="L10" i="6"/>
  <c r="F10" i="6"/>
  <c r="S17" i="6"/>
  <c r="T17" i="6" s="1"/>
  <c r="N17" i="6"/>
  <c r="J23" i="6"/>
  <c r="F23" i="6"/>
  <c r="J39" i="6"/>
  <c r="F39" i="6"/>
  <c r="S42" i="6"/>
  <c r="F44" i="6"/>
  <c r="C51" i="5"/>
  <c r="K51" i="5"/>
  <c r="L51" i="5" s="1"/>
  <c r="L7" i="5"/>
  <c r="F7" i="5"/>
  <c r="X7" i="5"/>
  <c r="S21" i="5"/>
  <c r="T21" i="5" s="1"/>
  <c r="N21" i="5"/>
  <c r="T35" i="5"/>
  <c r="J41" i="5"/>
  <c r="F41" i="5"/>
  <c r="T41" i="5"/>
  <c r="P43" i="5"/>
  <c r="C50" i="6"/>
  <c r="H12" i="6"/>
  <c r="R12" i="6"/>
  <c r="F17" i="6"/>
  <c r="G42" i="6"/>
  <c r="G50" i="6" s="1"/>
  <c r="H44" i="6"/>
  <c r="O42" i="6"/>
  <c r="O50" i="6" s="1"/>
  <c r="P50" i="6" s="1"/>
  <c r="P44" i="6"/>
  <c r="Q50" i="6"/>
  <c r="H22" i="5"/>
  <c r="F24" i="5"/>
  <c r="F30" i="5"/>
  <c r="F34" i="5"/>
  <c r="F37" i="5"/>
  <c r="F39" i="5"/>
  <c r="K6" i="6"/>
  <c r="J7" i="6"/>
  <c r="J19" i="6"/>
  <c r="J36" i="6"/>
  <c r="E42" i="6"/>
  <c r="I42" i="6"/>
  <c r="M42" i="6"/>
  <c r="J49" i="6"/>
  <c r="F46" i="5"/>
  <c r="L46" i="5"/>
  <c r="S6" i="6"/>
  <c r="F7" i="6"/>
  <c r="T43" i="5" l="1"/>
  <c r="H47" i="2"/>
  <c r="F21" i="2"/>
  <c r="P2" i="5"/>
  <c r="K45" i="2"/>
  <c r="K55" i="2" s="1"/>
  <c r="T14" i="4"/>
  <c r="H43" i="5"/>
  <c r="F12" i="6"/>
  <c r="K2" i="6"/>
  <c r="T17" i="5"/>
  <c r="T17" i="4"/>
  <c r="L43" i="5"/>
  <c r="D54" i="4"/>
  <c r="J17" i="4"/>
  <c r="P54" i="3"/>
  <c r="J45" i="2"/>
  <c r="T14" i="2"/>
  <c r="H14" i="2"/>
  <c r="J42" i="6"/>
  <c r="T42" i="6"/>
  <c r="J21" i="5"/>
  <c r="T12" i="6"/>
  <c r="I2" i="6"/>
  <c r="R2" i="6" s="1"/>
  <c r="F21" i="5"/>
  <c r="J50" i="3"/>
  <c r="F47" i="2"/>
  <c r="J47" i="2"/>
  <c r="L45" i="5"/>
  <c r="T45" i="5"/>
  <c r="F45" i="5"/>
  <c r="S54" i="3"/>
  <c r="T6" i="3"/>
  <c r="J2" i="6"/>
  <c r="J6" i="2"/>
  <c r="F6" i="2"/>
  <c r="L6" i="2"/>
  <c r="H6" i="2"/>
  <c r="S2" i="3"/>
  <c r="T9" i="6"/>
  <c r="S2" i="6"/>
  <c r="T2" i="6" s="1"/>
  <c r="X21" i="3"/>
  <c r="L21" i="3"/>
  <c r="F21" i="3"/>
  <c r="J21" i="3"/>
  <c r="G54" i="4"/>
  <c r="J8" i="4"/>
  <c r="T50" i="3"/>
  <c r="H21" i="3"/>
  <c r="J51" i="5"/>
  <c r="L17" i="4"/>
  <c r="H17" i="4"/>
  <c r="T17" i="3"/>
  <c r="N42" i="6"/>
  <c r="M2" i="6"/>
  <c r="N54" i="4"/>
  <c r="J46" i="4"/>
  <c r="F46" i="4"/>
  <c r="T46" i="4"/>
  <c r="L46" i="4"/>
  <c r="K44" i="4"/>
  <c r="H44" i="4" s="1"/>
  <c r="H46" i="4"/>
  <c r="K6" i="4"/>
  <c r="G2" i="6"/>
  <c r="H2" i="6" s="1"/>
  <c r="H42" i="6"/>
  <c r="F42" i="6"/>
  <c r="E50" i="6"/>
  <c r="K50" i="6"/>
  <c r="L50" i="6" s="1"/>
  <c r="L6" i="6"/>
  <c r="H6" i="6"/>
  <c r="F6" i="6"/>
  <c r="J6" i="6"/>
  <c r="E2" i="6"/>
  <c r="F2" i="6" s="1"/>
  <c r="L21" i="5"/>
  <c r="X21" i="5"/>
  <c r="T14" i="5"/>
  <c r="S2" i="5"/>
  <c r="H51" i="5"/>
  <c r="M50" i="6"/>
  <c r="N50" i="6" s="1"/>
  <c r="F51" i="5"/>
  <c r="R54" i="3"/>
  <c r="H17" i="6"/>
  <c r="I2" i="3"/>
  <c r="R2" i="3" s="1"/>
  <c r="L21" i="4"/>
  <c r="F21" i="4"/>
  <c r="J21" i="4"/>
  <c r="I54" i="4"/>
  <c r="J6" i="4"/>
  <c r="T21" i="2"/>
  <c r="R2" i="5"/>
  <c r="M2" i="3"/>
  <c r="J17" i="3"/>
  <c r="P55" i="2"/>
  <c r="S50" i="6"/>
  <c r="T6" i="6"/>
  <c r="L17" i="5"/>
  <c r="X17" i="5"/>
  <c r="K2" i="4"/>
  <c r="F2" i="4" s="1"/>
  <c r="O2" i="6"/>
  <c r="P2" i="6" s="1"/>
  <c r="P42" i="6"/>
  <c r="F17" i="5"/>
  <c r="S51" i="5"/>
  <c r="T51" i="5" s="1"/>
  <c r="J9" i="6"/>
  <c r="F9" i="6"/>
  <c r="L9" i="6"/>
  <c r="H9" i="6"/>
  <c r="K54" i="3"/>
  <c r="L6" i="3"/>
  <c r="H6" i="3"/>
  <c r="L46" i="3"/>
  <c r="H46" i="3"/>
  <c r="K44" i="3"/>
  <c r="F6" i="3"/>
  <c r="J17" i="5"/>
  <c r="I50" i="6"/>
  <c r="J50" i="6" s="1"/>
  <c r="T46" i="3"/>
  <c r="J2" i="4"/>
  <c r="S45" i="2"/>
  <c r="T45" i="2" s="1"/>
  <c r="T47" i="2"/>
  <c r="L21" i="2"/>
  <c r="H21" i="2"/>
  <c r="K2" i="5"/>
  <c r="H2" i="5" s="1"/>
  <c r="F44" i="3"/>
  <c r="E2" i="3"/>
  <c r="H17" i="5"/>
  <c r="G2" i="4"/>
  <c r="R55" i="2"/>
  <c r="T6" i="2"/>
  <c r="H55" i="2" l="1"/>
  <c r="J55" i="2"/>
  <c r="J2" i="5"/>
  <c r="N2" i="6"/>
  <c r="S55" i="2"/>
  <c r="T55" i="2" s="1"/>
  <c r="L45" i="2"/>
  <c r="H45" i="2"/>
  <c r="F45" i="2"/>
  <c r="T50" i="6"/>
  <c r="F50" i="6"/>
  <c r="H2" i="4"/>
  <c r="P2" i="4"/>
  <c r="K54" i="4"/>
  <c r="H6" i="4"/>
  <c r="L6" i="4"/>
  <c r="F6" i="4"/>
  <c r="T6" i="4"/>
  <c r="H50" i="6"/>
  <c r="L54" i="3"/>
  <c r="H54" i="3"/>
  <c r="N2" i="3"/>
  <c r="R50" i="6"/>
  <c r="F54" i="3"/>
  <c r="F2" i="5"/>
  <c r="L44" i="3"/>
  <c r="K2" i="3"/>
  <c r="H2" i="3" s="1"/>
  <c r="H44" i="3"/>
  <c r="T44" i="3"/>
  <c r="T2" i="5"/>
  <c r="J54" i="3"/>
  <c r="J44" i="3"/>
  <c r="T54" i="3"/>
  <c r="J44" i="4"/>
  <c r="F44" i="4"/>
  <c r="L44" i="4"/>
  <c r="T44" i="4"/>
  <c r="T2" i="4"/>
  <c r="H54" i="4"/>
  <c r="P54" i="4"/>
  <c r="R54" i="4"/>
  <c r="L55" i="2"/>
  <c r="F55" i="2"/>
  <c r="L54" i="4" l="1"/>
  <c r="T54" i="4"/>
  <c r="F54" i="4"/>
  <c r="J2" i="3"/>
  <c r="J54" i="4"/>
  <c r="F2" i="3"/>
  <c r="R43" i="1" l="1"/>
  <c r="R41" i="1"/>
  <c r="R39" i="1"/>
  <c r="N39" i="1"/>
  <c r="R38" i="1"/>
  <c r="N38" i="1"/>
  <c r="R37" i="1"/>
  <c r="N37" i="1"/>
  <c r="R36" i="1"/>
  <c r="N36" i="1"/>
  <c r="R35" i="1"/>
  <c r="R34" i="1"/>
  <c r="R32" i="1"/>
  <c r="R31" i="1"/>
  <c r="R29" i="1"/>
  <c r="R28" i="1"/>
  <c r="R27" i="1"/>
  <c r="R26" i="1"/>
  <c r="R25" i="1"/>
  <c r="N28" i="1"/>
  <c r="N27" i="1"/>
  <c r="N26" i="1"/>
  <c r="N25" i="1"/>
  <c r="S54" i="1"/>
  <c r="O51" i="1"/>
  <c r="G51" i="1"/>
  <c r="O47" i="1"/>
  <c r="M47" i="1"/>
  <c r="N47" i="1" s="1"/>
  <c r="I47" i="1"/>
  <c r="G47" i="1"/>
  <c r="G45" i="1" s="1"/>
  <c r="E47" i="1"/>
  <c r="C47" i="1"/>
  <c r="C45" i="1" s="1"/>
  <c r="O45" i="1"/>
  <c r="M45" i="1"/>
  <c r="N45" i="1" s="1"/>
  <c r="I45" i="1"/>
  <c r="R45" i="1" s="1"/>
  <c r="E45" i="1"/>
  <c r="Q8" i="1"/>
  <c r="P47" i="1" l="1"/>
  <c r="T54" i="1"/>
  <c r="P51" i="1"/>
  <c r="P45" i="1"/>
  <c r="I8" i="1"/>
  <c r="R8" i="1" s="1"/>
  <c r="C8" i="1"/>
  <c r="D8" i="1"/>
  <c r="B8" i="1"/>
  <c r="E14" i="1"/>
  <c r="O21" i="1"/>
  <c r="Q53" i="1"/>
  <c r="P53" i="1"/>
  <c r="O53" i="1"/>
  <c r="N53" i="1"/>
  <c r="M53" i="1"/>
  <c r="I53" i="1"/>
  <c r="H53" i="1"/>
  <c r="G53" i="1"/>
  <c r="F53" i="1"/>
  <c r="E53" i="1"/>
  <c r="B53" i="1"/>
  <c r="C53" i="1"/>
  <c r="D54" i="1"/>
  <c r="D53" i="1" s="1"/>
  <c r="K54" i="1"/>
  <c r="Q51" i="1"/>
  <c r="I51" i="1"/>
  <c r="Q21" i="1"/>
  <c r="M21" i="1"/>
  <c r="I21" i="1"/>
  <c r="G21" i="1"/>
  <c r="E21" i="1"/>
  <c r="Q17" i="1"/>
  <c r="O17" i="1"/>
  <c r="M17" i="1"/>
  <c r="S17" i="1" s="1"/>
  <c r="I17" i="1"/>
  <c r="G17" i="1"/>
  <c r="E17" i="1"/>
  <c r="Q14" i="1"/>
  <c r="O14" i="1"/>
  <c r="M14" i="1"/>
  <c r="I14" i="1"/>
  <c r="G14" i="1"/>
  <c r="Q6" i="1"/>
  <c r="O6" i="1"/>
  <c r="M6" i="1"/>
  <c r="G6" i="1"/>
  <c r="E6" i="1"/>
  <c r="J54" i="1" l="1"/>
  <c r="L54" i="1"/>
  <c r="K53" i="1"/>
  <c r="E55" i="1"/>
  <c r="O55" i="1"/>
  <c r="M55" i="1"/>
  <c r="G55" i="1"/>
  <c r="R21" i="1"/>
  <c r="Q55" i="1"/>
  <c r="S53" i="1"/>
  <c r="T53" i="1" s="1"/>
  <c r="P17" i="1"/>
  <c r="R17" i="1"/>
  <c r="P6" i="1"/>
  <c r="L53" i="1"/>
  <c r="I6" i="1"/>
  <c r="I55" i="1" s="1"/>
  <c r="K51" i="1"/>
  <c r="H51" i="1" s="1"/>
  <c r="P14" i="1"/>
  <c r="R51" i="1"/>
  <c r="N6" i="1"/>
  <c r="R14" i="1"/>
  <c r="K17" i="1"/>
  <c r="N21" i="1"/>
  <c r="S51" i="1"/>
  <c r="R6" i="1"/>
  <c r="N14" i="1"/>
  <c r="P21" i="1"/>
  <c r="J53" i="1"/>
  <c r="R53" i="1"/>
  <c r="S21" i="1"/>
  <c r="T17" i="1"/>
  <c r="N17" i="1"/>
  <c r="N55" i="1" l="1"/>
  <c r="R55" i="1"/>
  <c r="P55" i="1"/>
  <c r="J51" i="1"/>
  <c r="T51" i="1"/>
  <c r="J17" i="1"/>
  <c r="H17" i="1"/>
  <c r="F17" i="1"/>
  <c r="S52" i="1" l="1"/>
  <c r="R52" i="1"/>
  <c r="P52" i="1"/>
  <c r="K52" i="1"/>
  <c r="S50" i="1"/>
  <c r="R50" i="1"/>
  <c r="K50" i="1"/>
  <c r="S49" i="1"/>
  <c r="K49" i="1"/>
  <c r="S48" i="1"/>
  <c r="P48" i="1"/>
  <c r="N48" i="1"/>
  <c r="K48" i="1"/>
  <c r="S46" i="1"/>
  <c r="R46" i="1"/>
  <c r="K46" i="1"/>
  <c r="L46" i="1" s="1"/>
  <c r="S44" i="1"/>
  <c r="K44" i="1"/>
  <c r="S43" i="1"/>
  <c r="K43" i="1"/>
  <c r="F43" i="1" s="1"/>
  <c r="S42" i="1"/>
  <c r="R42" i="1"/>
  <c r="K42" i="1"/>
  <c r="S41" i="1"/>
  <c r="K41" i="1"/>
  <c r="J41" i="1" s="1"/>
  <c r="S40" i="1"/>
  <c r="R40" i="1"/>
  <c r="K40" i="1"/>
  <c r="S39" i="1"/>
  <c r="K39" i="1"/>
  <c r="S38" i="1"/>
  <c r="K38" i="1"/>
  <c r="S37" i="1"/>
  <c r="K37" i="1"/>
  <c r="S36" i="1"/>
  <c r="K36" i="1"/>
  <c r="S35" i="1"/>
  <c r="N35" i="1"/>
  <c r="K35" i="1"/>
  <c r="S34" i="1"/>
  <c r="N34" i="1"/>
  <c r="K34" i="1"/>
  <c r="H34" i="1" s="1"/>
  <c r="S33" i="1"/>
  <c r="R33" i="1"/>
  <c r="N33" i="1"/>
  <c r="K33" i="1"/>
  <c r="J33" i="1" s="1"/>
  <c r="S32" i="1"/>
  <c r="N32" i="1"/>
  <c r="K32" i="1"/>
  <c r="F32" i="1" s="1"/>
  <c r="S31" i="1"/>
  <c r="K31" i="1"/>
  <c r="S30" i="1"/>
  <c r="R30" i="1"/>
  <c r="N30" i="1"/>
  <c r="K30" i="1"/>
  <c r="S29" i="1"/>
  <c r="N29" i="1"/>
  <c r="K29" i="1"/>
  <c r="S28" i="1"/>
  <c r="K28" i="1"/>
  <c r="S27" i="1"/>
  <c r="K27" i="1"/>
  <c r="S26" i="1"/>
  <c r="K26" i="1"/>
  <c r="S25" i="1"/>
  <c r="K25" i="1"/>
  <c r="S24" i="1"/>
  <c r="R24" i="1"/>
  <c r="N24" i="1"/>
  <c r="K24" i="1"/>
  <c r="S23" i="1"/>
  <c r="R23" i="1"/>
  <c r="N23" i="1"/>
  <c r="K23" i="1"/>
  <c r="S22" i="1"/>
  <c r="R22" i="1"/>
  <c r="P22" i="1"/>
  <c r="N22" i="1"/>
  <c r="K22" i="1"/>
  <c r="S20" i="1"/>
  <c r="P20" i="1"/>
  <c r="N20" i="1"/>
  <c r="K20" i="1"/>
  <c r="S19" i="1"/>
  <c r="R19" i="1"/>
  <c r="P19" i="1"/>
  <c r="N19" i="1"/>
  <c r="K19" i="1"/>
  <c r="S18" i="1"/>
  <c r="R18" i="1"/>
  <c r="P18" i="1"/>
  <c r="N18" i="1"/>
  <c r="K18" i="1"/>
  <c r="H18" i="1" s="1"/>
  <c r="S16" i="1"/>
  <c r="P16" i="1"/>
  <c r="N16" i="1"/>
  <c r="K16" i="1"/>
  <c r="S15" i="1"/>
  <c r="R15" i="1"/>
  <c r="P15" i="1"/>
  <c r="N15" i="1"/>
  <c r="K15" i="1"/>
  <c r="K13" i="1"/>
  <c r="L13" i="1" s="1"/>
  <c r="K12" i="1"/>
  <c r="K11" i="1"/>
  <c r="L11" i="1" s="1"/>
  <c r="J11" i="1"/>
  <c r="S10" i="1"/>
  <c r="R10" i="1"/>
  <c r="K10" i="1"/>
  <c r="S9" i="1"/>
  <c r="R9" i="1"/>
  <c r="K9" i="1"/>
  <c r="S7" i="1"/>
  <c r="N7" i="1"/>
  <c r="K7" i="1"/>
  <c r="H7" i="1" s="1"/>
  <c r="T52" i="1" l="1"/>
  <c r="F7" i="1"/>
  <c r="J16" i="1"/>
  <c r="J50" i="1"/>
  <c r="J7" i="1"/>
  <c r="F18" i="1"/>
  <c r="T18" i="1"/>
  <c r="J15" i="1"/>
  <c r="J20" i="1"/>
  <c r="J19" i="1"/>
  <c r="T19" i="1"/>
  <c r="J49" i="1"/>
  <c r="S47" i="1"/>
  <c r="S45" i="1" s="1"/>
  <c r="H48" i="1"/>
  <c r="K47" i="1"/>
  <c r="J30" i="1"/>
  <c r="H30" i="1"/>
  <c r="J23" i="1"/>
  <c r="H23" i="1"/>
  <c r="T24" i="1"/>
  <c r="H24" i="1"/>
  <c r="J25" i="1"/>
  <c r="H25" i="1"/>
  <c r="J27" i="1"/>
  <c r="H27" i="1"/>
  <c r="J29" i="1"/>
  <c r="H29" i="1"/>
  <c r="J36" i="1"/>
  <c r="H36" i="1"/>
  <c r="J38" i="1"/>
  <c r="H38" i="1"/>
  <c r="J40" i="1"/>
  <c r="H40" i="1"/>
  <c r="F41" i="1"/>
  <c r="H41" i="1"/>
  <c r="F44" i="1"/>
  <c r="H44" i="1"/>
  <c r="T33" i="1"/>
  <c r="J35" i="1"/>
  <c r="H35" i="1"/>
  <c r="J31" i="1"/>
  <c r="H31" i="1"/>
  <c r="J26" i="1"/>
  <c r="H26" i="1"/>
  <c r="J28" i="1"/>
  <c r="H28" i="1"/>
  <c r="J32" i="1"/>
  <c r="H32" i="1"/>
  <c r="F33" i="1"/>
  <c r="H33" i="1"/>
  <c r="J37" i="1"/>
  <c r="H37" i="1"/>
  <c r="J39" i="1"/>
  <c r="H39" i="1"/>
  <c r="F42" i="1"/>
  <c r="H42" i="1"/>
  <c r="J43" i="1"/>
  <c r="H43" i="1"/>
  <c r="F16" i="1"/>
  <c r="J18" i="1"/>
  <c r="J46" i="1"/>
  <c r="F25" i="1"/>
  <c r="F26" i="1"/>
  <c r="F27" i="1"/>
  <c r="F28" i="1"/>
  <c r="F29" i="1"/>
  <c r="T29" i="1"/>
  <c r="F35" i="1"/>
  <c r="T35" i="1"/>
  <c r="H15" i="1"/>
  <c r="H16" i="1"/>
  <c r="T16" i="1"/>
  <c r="F19" i="1"/>
  <c r="F31" i="1"/>
  <c r="T34" i="1"/>
  <c r="T42" i="1"/>
  <c r="T50" i="1"/>
  <c r="T9" i="1"/>
  <c r="S8" i="1"/>
  <c r="T10" i="1"/>
  <c r="L10" i="1"/>
  <c r="J9" i="1"/>
  <c r="L9" i="1"/>
  <c r="K8" i="1"/>
  <c r="J12" i="1"/>
  <c r="L12" i="1"/>
  <c r="T46" i="1"/>
  <c r="K6" i="1"/>
  <c r="J13" i="1"/>
  <c r="F15" i="1"/>
  <c r="K14" i="1"/>
  <c r="T15" i="1"/>
  <c r="S14" i="1"/>
  <c r="J22" i="1"/>
  <c r="K21" i="1"/>
  <c r="T22" i="1"/>
  <c r="T32" i="1"/>
  <c r="T40" i="1"/>
  <c r="J42" i="1"/>
  <c r="T20" i="1"/>
  <c r="T48" i="1"/>
  <c r="H19" i="1"/>
  <c r="F20" i="1"/>
  <c r="F22" i="1"/>
  <c r="F24" i="1"/>
  <c r="H52" i="1"/>
  <c r="T7" i="1"/>
  <c r="H20" i="1"/>
  <c r="H22" i="1"/>
  <c r="F23" i="1"/>
  <c r="J24" i="1"/>
  <c r="F30" i="1"/>
  <c r="F34" i="1"/>
  <c r="F36" i="1"/>
  <c r="F37" i="1"/>
  <c r="F38" i="1"/>
  <c r="F39" i="1"/>
  <c r="F48" i="1"/>
  <c r="J52" i="1"/>
  <c r="T23" i="1"/>
  <c r="T30" i="1"/>
  <c r="J10" i="1"/>
  <c r="J34" i="1"/>
  <c r="S55" i="1" l="1"/>
  <c r="J47" i="1"/>
  <c r="K45" i="1"/>
  <c r="K55" i="1" s="1"/>
  <c r="F55" i="1" s="1"/>
  <c r="F47" i="1"/>
  <c r="T47" i="1"/>
  <c r="H47" i="1"/>
  <c r="T8" i="1"/>
  <c r="T14" i="1"/>
  <c r="S6" i="1"/>
  <c r="F21" i="1"/>
  <c r="J21" i="1"/>
  <c r="H21" i="1"/>
  <c r="T21" i="1"/>
  <c r="J14" i="1"/>
  <c r="H14" i="1"/>
  <c r="F14" i="1"/>
  <c r="H6" i="1"/>
  <c r="J6" i="1"/>
  <c r="F6" i="1"/>
  <c r="J8" i="1"/>
  <c r="L8" i="1"/>
  <c r="D22" i="1"/>
  <c r="L22" i="1" s="1"/>
  <c r="B22" i="1"/>
  <c r="T55" i="1" l="1"/>
  <c r="J55" i="1"/>
  <c r="H55" i="1"/>
  <c r="H45" i="1"/>
  <c r="F45" i="1"/>
  <c r="J45" i="1"/>
  <c r="T45" i="1"/>
  <c r="T6" i="1"/>
  <c r="D48" i="1"/>
  <c r="D16" i="1"/>
  <c r="L16" i="1" s="1"/>
  <c r="B7" i="1"/>
  <c r="B48" i="1"/>
  <c r="B47" i="1" s="1"/>
  <c r="B45" i="1" s="1"/>
  <c r="B16" i="1"/>
  <c r="D47" i="1" l="1"/>
  <c r="L50" i="1"/>
  <c r="L48" i="1"/>
  <c r="L49" i="1"/>
  <c r="B15" i="1"/>
  <c r="D19" i="1"/>
  <c r="L19" i="1" s="1"/>
  <c r="D18" i="1"/>
  <c r="L18" i="1" s="1"/>
  <c r="B20" i="1"/>
  <c r="B19" i="1"/>
  <c r="B18" i="1"/>
  <c r="D45" i="1" l="1"/>
  <c r="L45" i="1" s="1"/>
  <c r="L47" i="1"/>
  <c r="D15" i="1"/>
  <c r="L15" i="1" s="1"/>
  <c r="D52" i="1" l="1"/>
  <c r="L52" i="1" s="1"/>
  <c r="D7" i="1" l="1"/>
  <c r="L7" i="1" s="1"/>
  <c r="D20" i="1"/>
  <c r="L20" i="1" s="1"/>
  <c r="C51" i="1" l="1"/>
  <c r="D51" i="1"/>
  <c r="L51" i="1" s="1"/>
  <c r="C21" i="1"/>
  <c r="D21" i="1"/>
  <c r="L21" i="1" s="1"/>
  <c r="C17" i="1"/>
  <c r="D17" i="1"/>
  <c r="L17" i="1" s="1"/>
  <c r="C14" i="1"/>
  <c r="D14" i="1"/>
  <c r="L14" i="1" s="1"/>
  <c r="C6" i="1"/>
  <c r="D6" i="1"/>
  <c r="B52" i="1"/>
  <c r="D55" i="1" l="1"/>
  <c r="L55" i="1" s="1"/>
  <c r="C55" i="1"/>
  <c r="L6" i="1"/>
  <c r="B14" i="1"/>
  <c r="B21" i="1"/>
  <c r="B51" i="1"/>
  <c r="B6" i="1"/>
  <c r="B17" i="1" l="1"/>
  <c r="B55" i="1" s="1"/>
</calcChain>
</file>

<file path=xl/sharedStrings.xml><?xml version="1.0" encoding="utf-8"?>
<sst xmlns="http://schemas.openxmlformats.org/spreadsheetml/2006/main" count="672" uniqueCount="166">
  <si>
    <t>ตารางที่ C.1-1-1 การรับเข้าของนักศึกษาในหลักสูตรระดับปริญญาตรี  ปีการศึกษา 2559</t>
  </si>
  <si>
    <t>(ข้อมูลประกอบตาราง AUN-QA 8-1 ระดับหลักสูตร)</t>
  </si>
  <si>
    <t>สำนักวิชา/หลักสูตร</t>
  </si>
  <si>
    <t>จำนวนผู้สมัคร 
(No. 
Applied)</t>
  </si>
  <si>
    <t>จำนวน
ที่ประกาศรับตามแผน
(No. Offered)</t>
  </si>
  <si>
    <t>จำนวน
ผู้มีสิทธิเข้าศึกษา 
(No.
Admitted)
(1)</t>
  </si>
  <si>
    <t>นักศึกษาที่ลงทะเบียน
จำแนกตามประเภทการรับ</t>
  </si>
  <si>
    <t>รวม</t>
  </si>
  <si>
    <t>โควตา*</t>
  </si>
  <si>
    <t>Admissions</t>
  </si>
  <si>
    <t>อื่น ๆ**</t>
  </si>
  <si>
    <t>จำนวน
(2)</t>
  </si>
  <si>
    <t>ร้อยละ
(2/5)x100</t>
  </si>
  <si>
    <t>จำนวน
(3)</t>
  </si>
  <si>
    <t>ร้อยละ
(3/5)x100</t>
  </si>
  <si>
    <t>จำนวน
(4)</t>
  </si>
  <si>
    <t>ร้อยละ
(4/5)x100</t>
  </si>
  <si>
    <t>จำนวน
(5=2+3+4)</t>
  </si>
  <si>
    <t>ร้อยละ
(5/1)x100</t>
  </si>
  <si>
    <t>จำนวน
(6)</t>
  </si>
  <si>
    <t>ร้อยละ
(6/2)x100</t>
  </si>
  <si>
    <t>จำนวน
(7)</t>
  </si>
  <si>
    <t>ร้อยละ
(7/3)x100</t>
  </si>
  <si>
    <t>จำนวน
(8)</t>
  </si>
  <si>
    <t>ร้อยละ
(8/4)x100</t>
  </si>
  <si>
    <t>จำนวน
(9=6+7+8)</t>
  </si>
  <si>
    <t>ร้อยละ
(9/5)x100</t>
  </si>
  <si>
    <t>1. วิทยาศาสตร์</t>
  </si>
  <si>
    <t>1) วิทยาศาสตร์การกีฬา</t>
  </si>
  <si>
    <t>2) วิทยาศาสตรบัณฑิต
      (Honors Program)</t>
  </si>
  <si>
    <t xml:space="preserve">   - Honors Program</t>
  </si>
  <si>
    <t xml:space="preserve">   - เคมี (Honors Program)</t>
  </si>
  <si>
    <t xml:space="preserve">   - ชีววิทยา (Honors Program)</t>
  </si>
  <si>
    <t xml:space="preserve">   - คณิตศาสตร์ (Honors Program)</t>
  </si>
  <si>
    <t xml:space="preserve">   - ฟิสิกส์ (Honors Program)</t>
  </si>
  <si>
    <t xml:space="preserve">2. เทคโนโลยีสังคม  </t>
  </si>
  <si>
    <t>1) ยังไม่สังกัดหลักสูตร-เทคโนโลยีสารสนเทศ</t>
  </si>
  <si>
    <t>2) การจัดการ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</si>
  <si>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</si>
  <si>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</si>
  <si>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</si>
  <si>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</si>
  <si>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4. วิศวกรรมศาสตร์</t>
  </si>
  <si>
    <t>1) ยังไม่สังกัดสาขา-วิศวกรรมศาสตร์</t>
  </si>
  <si>
    <t>2) วิศวกรรมการผลิต</t>
  </si>
  <si>
    <t>3) วิศวกรรมเกษตรและอาหาร</t>
  </si>
  <si>
    <t>4) วิศวกรรมขนส่งและโลจิสติกส์</t>
  </si>
  <si>
    <t>5) วิศวกรรมคอมพิวเตอร์</t>
  </si>
  <si>
    <t>6) วิศวกรรมเคมี</t>
  </si>
  <si>
    <t>7) วิศวกรรมเครื่องกล</t>
  </si>
  <si>
    <t>8) วิศวกรรมเซรามิก</t>
  </si>
  <si>
    <t>9) วิศวกรรมโทรคมนาคม</t>
  </si>
  <si>
    <t>10) วิศวกรรมพอลิเมอร์</t>
  </si>
  <si>
    <t>11) วิศวกรรมไฟฟ้า</t>
  </si>
  <si>
    <t>12) วิศวกรรมโยธา</t>
  </si>
  <si>
    <t>13) วิศวกรรมโลหการ</t>
  </si>
  <si>
    <t>14) วิศวกรรมสิ่งแวดล้อม</t>
  </si>
  <si>
    <t>15) วิศวกรรมอุตสาหการ</t>
  </si>
  <si>
    <t>16) เทคโนโลยีธรณี</t>
  </si>
  <si>
    <t>17) วิศวกรรมอิเล็กทรอนิกส์</t>
  </si>
  <si>
    <t>18) วิศวกรรมยานยนต์</t>
  </si>
  <si>
    <t>19) วิศวกรรมเมคคาทรอนิกส์</t>
  </si>
  <si>
    <t>20) วิศวกรรมอากาศยาน</t>
  </si>
  <si>
    <t>21) วิศวกรรมธรณี</t>
  </si>
  <si>
    <t>22) วิศวกรรมการออกแบบผลิตภัณฑ์</t>
  </si>
  <si>
    <t>23) วิศวกรรมเครื่องมือ</t>
  </si>
  <si>
    <t>5. แพทยศาสตร์</t>
  </si>
  <si>
    <t>1) กลุ่มสาขาวิชาแพทยศาสตร์</t>
  </si>
  <si>
    <t>2) กลุ่มสาขาวิชาสาธารณสุขศาสตร์</t>
  </si>
  <si>
    <t>- ยังไม่สังกัดสาขาสาธารณสุขศาสตร์</t>
  </si>
  <si>
    <t>- อาชีวอนามัยและความปลอดภัย</t>
  </si>
  <si>
    <t>- อนามัยสิ่งแวดล้อม</t>
  </si>
  <si>
    <t>6. พยาบาลศาสตร์</t>
  </si>
  <si>
    <t>1) พยาบาลศาสตร์</t>
  </si>
  <si>
    <t>7. ทันตแพทยศาสตร์</t>
  </si>
  <si>
    <t>1) ทันตแพทยศาสตร์</t>
  </si>
  <si>
    <t>ภาพรวม</t>
  </si>
  <si>
    <t>แหล่งที่มา : ศูนย์บริการการศึกษา</t>
  </si>
  <si>
    <t>นักศึกษาที่พ้นสถานภาพในชั้นปีที่ 1 ***
จำแนกตามประเภทการรับ</t>
  </si>
  <si>
    <t>ข้อมูล ณ วันที่ 18 สิงหาคม 2560</t>
  </si>
  <si>
    <t>ตารางที่ C.1-1-1 การรับเข้าของนักศึกษาในหลักสูตรระดับปริญญาตรี  ปีการศึกษา 2558</t>
  </si>
  <si>
    <t>นักศึกษาที่พ้นสถานภาพในชั้นปีที่ 2 ***
จำแนกตามประเภทการรับ</t>
  </si>
  <si>
    <t xml:space="preserve">หมายเหตุ : 1. * โควตา ได้แก่  โควตาโรงเรียน โควตาจังหวัด โควตาผู้มีความสามารถพิเศษ (โควตานักกีฬา โควตาดนตรีและนาฏศิลป์ โควตาเด็กดีมีคุณธรรม และโควตาวิทยาศาสตร์และเทคโนโลยี)
               2. ** การรับนักศึกษาระบบอื่น ๆ  ได้แก่  
                      1) การรับตรง ได้แก่ หลักสูตรวิทยาศาสตรบัณฑิต (honors program) แพทยศาสตรบัณฑิต พยาบาลศาสตรบัณฑิต  และทันตแพทยศาสตรบัณฑิต
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และนักศึกษาหลักสูตรวิศวกรรมเมคคาทรอนิกส์
</t>
  </si>
  <si>
    <t>ตารางที่ C.1-1-1 การรับเข้าของนักศึกษาในหลักสูตรระดับปริญญาตรี  ปีการศึกษา 2557</t>
  </si>
  <si>
    <t>ข้อมูลเดิม</t>
  </si>
  <si>
    <t>ข้อมูลเดิม  (จำนวนนศ.ที่ลงทะเบียนสูงกว่าจำนวนผู้มีสิทธิเข้าศึกษา) ดังนั้นควรจะนำค่าที่เกินไปรวมกับจำนวนผู้มีสิทธิเข้าศึกษาเดิม</t>
  </si>
  <si>
    <t>จำนวน
ผู้มีสิทธิเข้าศึกษา 
(No.
Admitted)</t>
  </si>
  <si>
    <t>จำนวนนศ.ที่ลงทะเบียนสูงกว่าจำนวนผู้มีสิทธิเข้าศึกษา</t>
  </si>
  <si>
    <t>(2425-2262=163)</t>
  </si>
  <si>
    <t>ตารางที่ C.1-1-1 การรับเข้าของนักศึกษาในหลักสูตรระดับปริญญาตรี  ปีการศึกษา 2556</t>
  </si>
  <si>
    <r>
      <t xml:space="preserve">นักศึกษาที่พ้นสถานภาพในชั้นปีที่ 2 </t>
    </r>
    <r>
      <rPr>
        <b/>
        <sz val="14"/>
        <color rgb="FF0000FF"/>
        <rFont val="TH SarabunPSK"/>
        <family val="2"/>
      </rPr>
      <t>***</t>
    </r>
    <r>
      <rPr>
        <b/>
        <sz val="14"/>
        <color theme="1"/>
        <rFont val="TH SarabunPSK"/>
        <family val="2"/>
      </rPr>
      <t xml:space="preserve">
จำแนกตามประเภทการรับ</t>
    </r>
  </si>
  <si>
    <t>ตารางที่ C.1-1-1 การรับเข้าของนักศึกษาในหลักสูตรระดับปริญญาตรี  ปีการศึกษา 2555</t>
  </si>
  <si>
    <t>(52-39 = 13)</t>
  </si>
  <si>
    <t>(300-232=68)</t>
  </si>
  <si>
    <t>(174-106=68)</t>
  </si>
  <si>
    <t xml:space="preserve"> (312-270 = 42)</t>
  </si>
  <si>
    <t>(99-78=21)</t>
  </si>
  <si>
    <t>(56-70=16)</t>
  </si>
  <si>
    <t>(127-122=5)</t>
  </si>
  <si>
    <t xml:space="preserve"> (2033-1853= 180)</t>
  </si>
  <si>
    <t>ตารางที่ C.1-1-1 การรับเข้าของนักศึกษาในหลักสูตรระดับปริญญาตรี  ปีการศึกษา 2554</t>
  </si>
  <si>
    <t>2) วิทยาศาสตรบัณฑิต
     (Honors Program)</t>
  </si>
  <si>
    <t>-</t>
  </si>
  <si>
    <t>1) ยังไม่สังกัดหลักสูตรเทคโนโลยีสารสนเทศ</t>
  </si>
  <si>
    <t>1) ยังไม่สังกัดสาขา-เทคโนโลยีการเกษตร</t>
  </si>
  <si>
    <t>2) เทคโนโลยีการผลิตพืช</t>
  </si>
  <si>
    <t>3) เทคโนโลยีการผลิตสัตว์</t>
  </si>
  <si>
    <t>4) เทคโนโลยีอาหาร</t>
  </si>
  <si>
    <t>1) ยังไม่สังกัดสาขาวิศวกรรมศาสตร์</t>
  </si>
  <si>
    <t>4) - วิศวกรรมขนส่ง</t>
  </si>
  <si>
    <t xml:space="preserve">    - วิศวกรรมขนส่งและโลจิสติกส์</t>
  </si>
  <si>
    <t>19) - แมคคาทรอนิกส์</t>
  </si>
  <si>
    <t xml:space="preserve">     - วิศวกรรมเมคคาทรอนิกส์</t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</si>
  <si>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1. * การรับนักศึกษาระบบอื่น ๆ ได้แก่ รับตรง ทุน 84 พรรษาฯ ทุนมทส. ศักยบัณฑิต ผู้พิการ ทุนชายแดนภาคใต้ หลักสูตรนอกเวลา Re-entry  รับโอนจากสถาบันอื่น ป.ตรีอีกสาขาหนึ่ง โควตารอบพิเศษ โควตาพิเศษ</t>
    </r>
  </si>
  <si>
    <t xml:space="preserve">              2. ** จำนวนนักศึกษาที่ไม่ศึกษาต่อ หมายถึง นักศึกษาที่พ้นสภาพ ลาออก หรือตกออก ณ ปีนั้น ๆ</t>
  </si>
  <si>
    <t xml:space="preserve">หมายเหตุ : 1. * โควตา ได้แก่  โควตาวิชาเรียน โควตาวิชาสามัญ โควตาผู้มีความสามารถพิเศษ (โควตานักกีฬา โควตาดนตรีและนาฏศิลป์ โควตาเด็กดีมีคุณธรรม และโควตาผู้มีความสามารถด้านวิทยาศาสตร์และเทคโนโลยี)
               2. ** การรับนักศึกษาระบบอื่น ๆ  ได้แก่  
                      1) การรับตรง ได้แก่ หลักสูตรวิทยาศาสตรบัณฑิต (honors program) แพทยศาสตรบัณฑิต พยาบาลศาสตรบัณฑิต  และทันตแพทยศาสตรบัณฑิต
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และนักศึกษาหลักสูตรวิศวกรรมเมคคาทรอนิกส์
                3. การพ้นสถานภาพของนักศึกษานับจากนักศึกษาที่พ้นสถานภาพ เนื่องจากผลการเรียน ลาออก และสาเหตุอื่น ๆ (ได้แก่ นักศึกษาไม่ชำระเงิน/ไม่ลงทะเบียน/เสียชีวิต) โดยอิงตามข้อบังคับ มทส.
                   ว่าด้วยการศึกษาขั้นปริญญาตรี พ.ศ. 2546
                4. การรวบรวมข้อมูลนักศึกษาที่ลงทะเบียนและนักศึกษาที่พ้นสถานภาพจะรวบรวมข้อมูลตลอดทั้งปีการศึกษา
</t>
  </si>
  <si>
    <t xml:space="preserve">จำนวนที่ประกาศรับตามแผน : จำนวน
ผู้มีสิทธิเข้าศึกษา </t>
  </si>
  <si>
    <t>ผลการเรียน</t>
  </si>
  <si>
    <t>นักศึกษาที่พ้นสถานภาพในชั้นปีที่ 1 ***</t>
  </si>
  <si>
    <t>จำแนกตามประเภทการรับ</t>
  </si>
  <si>
    <t>ลาออก</t>
  </si>
  <si>
    <t>จำแนกตามสาเหตุของการพ้นสถานภาพ</t>
  </si>
  <si>
    <t>จำนวน
ผู้มีสิทธิเข้าศึกษา *
(No.
Admitted)
(1)</t>
  </si>
  <si>
    <t>โควตา**</t>
  </si>
  <si>
    <t>อื่น ๆ***</t>
  </si>
  <si>
    <t>8. สาธารณสุขศาสตร์</t>
  </si>
  <si>
    <t>1) ยังไม่สังกัดสาขาสาธารณสุขศาสตร์</t>
  </si>
  <si>
    <t>2) อาชีวอนามัยและความปลอดภัย</t>
  </si>
  <si>
    <t>3) อนามัยสิ่งแวดล้อม</t>
  </si>
  <si>
    <t>2) วิศวกรรมเกษตรและอาหาร</t>
  </si>
  <si>
    <t>3) วิศวกรรมขนส่งและโลจิสติกส์</t>
  </si>
  <si>
    <t>4) วิศวกรรมคอมพิวเตอร์</t>
  </si>
  <si>
    <t>5) วิศวกรรมเคมี</t>
  </si>
  <si>
    <t>6) วิศวกรรมเครื่องกล</t>
  </si>
  <si>
    <t>7) วิศวกรรมเซรามิก</t>
  </si>
  <si>
    <t>8) วิศวกรรมโทรคมนาคม</t>
  </si>
  <si>
    <t>9) วิศวกรรมพอลิเมอร์</t>
  </si>
  <si>
    <t>10) วิศวกรรมไฟฟ้า</t>
  </si>
  <si>
    <t>11) วิศวกรรมโยธา</t>
  </si>
  <si>
    <t>12) วิศวกรรมโลหการ</t>
  </si>
  <si>
    <t>13) วิศวกรรมสิ่งแวดล้อม</t>
  </si>
  <si>
    <t>14) วิศวกรรมอุตสาหการ</t>
  </si>
  <si>
    <t>15) วิศวกรรมปิโตรเลียมและเทคโนโลยีธรณี</t>
  </si>
  <si>
    <t>16) วิศวกรรมอิเล็กทรอนิกส์</t>
  </si>
  <si>
    <t>17) วิศวกรรมยานยนต์</t>
  </si>
  <si>
    <t>18) วิศวกรรมเมคคาทรอนิกส์</t>
  </si>
  <si>
    <t>19) วิศวกรรมอากาศยาน</t>
  </si>
  <si>
    <t>20) วิศวกรรมธรณี</t>
  </si>
  <si>
    <t>21) วิศวกรรมการผลิตอัตโนมัติและหุ่นยนต์</t>
  </si>
  <si>
    <t>1) แพทยศาสตร์</t>
  </si>
  <si>
    <t>ตารางที่ AUN-QA 8.1-1 : การรับเข้าของนักศึกษาในหลักสูตรระดับปริญญาตรี  ปีการศึกษา 2560</t>
  </si>
  <si>
    <t>4) บูรณาการฯ (นานาชาติ)</t>
  </si>
  <si>
    <t>21) วิศวกรรมการออกแบบผลิตภัณฑ์</t>
  </si>
  <si>
    <t>22) วิศวกรรมเครื่องมือ</t>
  </si>
  <si>
    <t>22) วิศวกรรมเครื่องกล (นานาชาติ)</t>
  </si>
  <si>
    <t>26) วิศวกรรมนวัตกรรมและการออกแบบวัสดุ (นานาชาติ)</t>
  </si>
  <si>
    <t>24) วิศวกรรมโยธา (นานาชาติ)</t>
  </si>
  <si>
    <t>25) วิศวกรรมปิโตรเคมีและพอลิเมอร์ (นานาชาติ)</t>
  </si>
  <si>
    <t xml:space="preserve">หมายเหตุ :  1. * ผู้มีสิทธิเข้าศึกษา คือ จำนวนนักศึกษาที่มามอบตัวขึ้นทะเบียนนักศึกษาใหม่               
                2. ** โควตา ได้แก่  โควตาวิชาเรียน โควตาวิชาสามัญ โควตาผู้มีความสามารถพิเศษ (โควตานักกีฬา โควตาดนตรีและนาฏศิลป์ โควตาเด็กดีมีคุณธรรม และโควตาผู้มีความสามารถด้านวิทยาศาสตร์และเทคโนโลยี)
               3. *** การรับนักศึกษาระบบอื่น ๆ  ได้แก่  
                      1) การรับตรง ได้แก่ หลักสูตรวิทยาศาสตรบัณฑิต (honors program) แพทยศาสตรบัณฑิต พยาบาลศาสตรบัณฑิต  และทันตแพทยศาสตรบัณฑิต
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นานาชาติ และนักศึกษาหลักสูตรวิศวกรรมเมคคาทรอนิกส์
                4. การพ้นสถานภาพของนักศึกษานับจากนักศึกษาที่พ้นสถานภาพ เนื่องจากผลการเรียน ลาออก และสาเหตุอื่น ๆ (ได้แก่ นักศึกษาไม่ชำระเงิน/ไม่ลงทะเบียน/เสียชีวิต) โดยอิงตามข้อบังคับ มทส.
                   ว่าด้วยการศึกษาขั้นปริญญาตรี 
                5. การรวบรวมข้อมูลนักศึกษาที่ลงทะเบียนและนักศึกษาที่พ้นสถานภาพจะรวบรวมข้อมูลตลอดทั้งปีการศึกษา
</t>
  </si>
  <si>
    <t>2) วิทยาศาสตรบัณฑิต</t>
  </si>
  <si>
    <t xml:space="preserve">   - วิทยาศาสตรบัณฑิต</t>
  </si>
  <si>
    <t xml:space="preserve">   - เคมี </t>
  </si>
  <si>
    <t xml:space="preserve">   - ชีววิทยา</t>
  </si>
  <si>
    <t xml:space="preserve">   - คณิตศาสตร์</t>
  </si>
  <si>
    <t xml:space="preserve">   - ฟิสิกส์</t>
  </si>
  <si>
    <t>ข้อมูล ณ วันที่ 15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</si>
</sst>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;\-"/>
    <numFmt numFmtId="165" formatCode="#,##0.00;;\-"/>
    <numFmt numFmtId="166" formatCode="0.00;;\-"/>
    <numFmt numFmtId="167" formatCode="0;;\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</font>
    <font>
      <sz val="15"/>
      <color theme="1"/>
      <name val="TH SarabunPSK"/>
      <family val="2"/>
    </font>
    <font>
      <b/>
      <sz val="15.5"/>
      <color theme="1"/>
      <name val="TH SarabunPSK"/>
      <family val="2"/>
    </font>
    <font>
      <sz val="15.5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theme="0"/>
      <name val="TH SarabunPSK"/>
      <family val="2"/>
    </font>
    <font>
      <b/>
      <sz val="15"/>
      <color rgb="FFFF0000"/>
      <name val="TH SarabunPSK"/>
      <family val="2"/>
    </font>
    <font>
      <sz val="11"/>
      <color rgb="FF0000FF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0000FF"/>
      <name val="TH SarabunPSK"/>
      <family val="2"/>
    </font>
    <font>
      <b/>
      <sz val="16"/>
      <color rgb="FFC00000"/>
      <name val="TH SarabunPSK"/>
      <family val="2"/>
    </font>
    <font>
      <b/>
      <sz val="14"/>
      <color rgb="FF0000FF"/>
      <name val="TH SarabunPSK"/>
      <family val="2"/>
    </font>
    <font>
      <sz val="15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94">
    <xf numFmtId="0" fontId="0" fillId="0" borderId="0" xfId="0"/>
    <xf numFmtId="0" fontId="0" fillId="0" borderId="0" xfId="0" applyFont="1"/>
    <xf numFmtId="0" fontId="4" fillId="0" borderId="0" xfId="0" quotePrefix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0" fontId="11" fillId="0" borderId="34" xfId="0" quotePrefix="1" applyFont="1" applyFill="1" applyBorder="1" applyAlignment="1" applyProtection="1">
      <alignment horizontal="left" vertical="center" indent="2" shrinkToFit="1"/>
    </xf>
    <xf numFmtId="0" fontId="11" fillId="0" borderId="34" xfId="0" quotePrefix="1" applyFont="1" applyFill="1" applyBorder="1" applyAlignment="1" applyProtection="1">
      <alignment horizontal="left" vertical="center" indent="2"/>
    </xf>
    <xf numFmtId="0" fontId="2" fillId="0" borderId="0" xfId="0" applyFont="1"/>
    <xf numFmtId="49" fontId="12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49" fontId="0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165" fontId="13" fillId="0" borderId="0" xfId="0" applyNumberFormat="1" applyFont="1" applyAlignment="1">
      <alignment horizontal="right" vertical="center"/>
    </xf>
    <xf numFmtId="164" fontId="14" fillId="0" borderId="7" xfId="0" applyNumberFormat="1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14" fillId="0" borderId="23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33" xfId="0" applyNumberFormat="1" applyFont="1" applyBorder="1" applyAlignment="1">
      <alignment horizontal="center" vertical="center" wrapText="1"/>
    </xf>
    <xf numFmtId="165" fontId="14" fillId="0" borderId="25" xfId="0" applyNumberFormat="1" applyFont="1" applyBorder="1" applyAlignment="1">
      <alignment horizontal="center" vertical="center" wrapText="1"/>
    </xf>
    <xf numFmtId="0" fontId="17" fillId="0" borderId="0" xfId="0" applyFont="1"/>
    <xf numFmtId="166" fontId="18" fillId="0" borderId="82" xfId="0" applyNumberFormat="1" applyFont="1" applyFill="1" applyBorder="1" applyAlignment="1" applyProtection="1">
      <alignment horizontal="center" vertical="center"/>
    </xf>
    <xf numFmtId="3" fontId="4" fillId="0" borderId="82" xfId="0" applyNumberFormat="1" applyFont="1" applyFill="1" applyBorder="1" applyAlignment="1" applyProtection="1">
      <alignment horizontal="center" vertical="center"/>
    </xf>
    <xf numFmtId="0" fontId="18" fillId="0" borderId="82" xfId="0" applyNumberFormat="1" applyFont="1" applyFill="1" applyBorder="1" applyAlignment="1" applyProtection="1">
      <alignment horizontal="center" vertical="center"/>
    </xf>
    <xf numFmtId="3" fontId="9" fillId="0" borderId="82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/>
    <xf numFmtId="49" fontId="0" fillId="0" borderId="0" xfId="0" applyNumberFormat="1"/>
    <xf numFmtId="165" fontId="0" fillId="0" borderId="0" xfId="0" applyNumberFormat="1" applyAlignment="1">
      <alignment vertical="center"/>
    </xf>
    <xf numFmtId="0" fontId="20" fillId="0" borderId="0" xfId="0" quotePrefix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166" fontId="14" fillId="0" borderId="25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/>
    </xf>
    <xf numFmtId="0" fontId="11" fillId="0" borderId="147" xfId="0" quotePrefix="1" applyFont="1" applyFill="1" applyBorder="1" applyAlignment="1" applyProtection="1">
      <alignment horizontal="left" vertical="center" indent="2" shrinkToFit="1"/>
    </xf>
    <xf numFmtId="0" fontId="11" fillId="0" borderId="147" xfId="0" quotePrefix="1" applyFont="1" applyFill="1" applyBorder="1" applyAlignment="1" applyProtection="1">
      <alignment horizontal="left" vertical="center" indent="2"/>
    </xf>
    <xf numFmtId="49" fontId="9" fillId="0" borderId="0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3" fontId="14" fillId="0" borderId="133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14" fillId="0" borderId="157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Fill="1" applyBorder="1" applyAlignment="1" applyProtection="1">
      <alignment horizontal="center" vertical="center"/>
    </xf>
    <xf numFmtId="166" fontId="4" fillId="0" borderId="82" xfId="0" applyNumberFormat="1" applyFont="1" applyFill="1" applyBorder="1" applyAlignment="1" applyProtection="1">
      <alignment horizontal="center" vertical="center"/>
    </xf>
    <xf numFmtId="0" fontId="4" fillId="0" borderId="82" xfId="0" applyNumberFormat="1" applyFont="1" applyFill="1" applyBorder="1" applyAlignment="1" applyProtection="1">
      <alignment horizontal="center" vertical="center"/>
    </xf>
    <xf numFmtId="166" fontId="9" fillId="0" borderId="7" xfId="0" applyNumberFormat="1" applyFont="1" applyFill="1" applyBorder="1" applyAlignment="1" applyProtection="1">
      <alignment horizontal="center" vertical="center"/>
    </xf>
    <xf numFmtId="166" fontId="9" fillId="0" borderId="82" xfId="0" applyNumberFormat="1" applyFont="1" applyFill="1" applyBorder="1" applyAlignment="1" applyProtection="1">
      <alignment horizontal="center" vertical="center"/>
    </xf>
    <xf numFmtId="166" fontId="9" fillId="0" borderId="7" xfId="0" applyNumberFormat="1" applyFont="1" applyFill="1" applyBorder="1" applyAlignment="1" applyProtection="1">
      <alignment horizontal="center" vertical="top"/>
    </xf>
    <xf numFmtId="166" fontId="9" fillId="0" borderId="82" xfId="0" applyNumberFormat="1" applyFont="1" applyFill="1" applyBorder="1" applyAlignment="1" applyProtection="1">
      <alignment horizontal="center" vertical="top"/>
    </xf>
    <xf numFmtId="3" fontId="9" fillId="0" borderId="82" xfId="0" applyNumberFormat="1" applyFont="1" applyFill="1" applyBorder="1" applyAlignment="1" applyProtection="1">
      <alignment horizontal="center" vertical="top" shrinkToFit="1"/>
    </xf>
    <xf numFmtId="0" fontId="9" fillId="0" borderId="82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166" fontId="9" fillId="0" borderId="7" xfId="0" applyNumberFormat="1" applyFont="1" applyFill="1" applyBorder="1" applyAlignment="1" applyProtection="1">
      <alignment horizontal="center" vertical="center" shrinkToFit="1"/>
    </xf>
    <xf numFmtId="166" fontId="9" fillId="0" borderId="0" xfId="0" applyNumberFormat="1" applyFont="1" applyFill="1" applyBorder="1" applyAlignment="1" applyProtection="1">
      <alignment horizontal="center" vertical="center" shrinkToFit="1"/>
    </xf>
    <xf numFmtId="3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167" fontId="4" fillId="0" borderId="7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/>
    <xf numFmtId="0" fontId="2" fillId="0" borderId="0" xfId="0" applyNumberFormat="1" applyFont="1"/>
    <xf numFmtId="49" fontId="11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166" fontId="0" fillId="0" borderId="0" xfId="0" applyNumberFormat="1" applyFont="1"/>
    <xf numFmtId="166" fontId="0" fillId="0" borderId="0" xfId="0" applyNumberFormat="1" applyFont="1" applyBorder="1"/>
    <xf numFmtId="3" fontId="0" fillId="0" borderId="0" xfId="0" applyNumberFormat="1" applyFont="1" applyBorder="1"/>
    <xf numFmtId="0" fontId="0" fillId="0" borderId="0" xfId="0" applyNumberFormat="1" applyFont="1" applyBorder="1"/>
    <xf numFmtId="167" fontId="0" fillId="0" borderId="0" xfId="0" applyNumberFormat="1" applyFont="1"/>
    <xf numFmtId="3" fontId="0" fillId="0" borderId="0" xfId="0" applyNumberFormat="1" applyFont="1"/>
    <xf numFmtId="0" fontId="3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4" fontId="14" fillId="0" borderId="98" xfId="0" applyNumberFormat="1" applyFont="1" applyBorder="1" applyAlignment="1">
      <alignment horizontal="center" vertical="center" wrapText="1"/>
    </xf>
    <xf numFmtId="165" fontId="14" fillId="0" borderId="154" xfId="0" applyNumberFormat="1" applyFont="1" applyBorder="1" applyAlignment="1">
      <alignment horizontal="center" vertical="center" wrapText="1"/>
    </xf>
    <xf numFmtId="49" fontId="14" fillId="0" borderId="142" xfId="0" applyNumberFormat="1" applyFont="1" applyBorder="1" applyAlignment="1">
      <alignment horizontal="center" vertical="center" wrapText="1"/>
    </xf>
    <xf numFmtId="49" fontId="14" fillId="0" borderId="155" xfId="0" applyNumberFormat="1" applyFont="1" applyBorder="1" applyAlignment="1">
      <alignment horizontal="center" vertical="center" wrapText="1"/>
    </xf>
    <xf numFmtId="164" fontId="14" fillId="0" borderId="129" xfId="0" applyNumberFormat="1" applyFont="1" applyBorder="1" applyAlignment="1">
      <alignment horizontal="center" vertical="center" wrapText="1"/>
    </xf>
    <xf numFmtId="165" fontId="14" fillId="0" borderId="155" xfId="0" applyNumberFormat="1" applyFont="1" applyBorder="1" applyAlignment="1">
      <alignment horizontal="center" vertical="center" wrapText="1"/>
    </xf>
    <xf numFmtId="164" fontId="14" fillId="0" borderId="142" xfId="0" applyNumberFormat="1" applyFont="1" applyBorder="1" applyAlignment="1">
      <alignment horizontal="center" vertical="center" wrapText="1"/>
    </xf>
    <xf numFmtId="164" fontId="14" fillId="0" borderId="131" xfId="0" applyNumberFormat="1" applyFont="1" applyBorder="1" applyAlignment="1">
      <alignment horizontal="center" vertical="center" wrapText="1"/>
    </xf>
    <xf numFmtId="165" fontId="14" fillId="0" borderId="128" xfId="0" applyNumberFormat="1" applyFont="1" applyBorder="1" applyAlignment="1">
      <alignment horizontal="center" vertical="center" wrapText="1"/>
    </xf>
    <xf numFmtId="3" fontId="11" fillId="0" borderId="73" xfId="0" applyNumberFormat="1" applyFont="1" applyFill="1" applyBorder="1" applyAlignment="1" applyProtection="1">
      <alignment horizontal="right" vertical="center" shrinkToFit="1"/>
    </xf>
    <xf numFmtId="3" fontId="11" fillId="0" borderId="118" xfId="0" applyNumberFormat="1" applyFont="1" applyFill="1" applyBorder="1" applyAlignment="1" applyProtection="1">
      <alignment horizontal="right" vertical="center" shrinkToFit="1"/>
    </xf>
    <xf numFmtId="3" fontId="11" fillId="0" borderId="137" xfId="0" applyNumberFormat="1" applyFont="1" applyFill="1" applyBorder="1" applyAlignment="1" applyProtection="1">
      <alignment horizontal="right" vertical="center" shrinkToFit="1"/>
    </xf>
    <xf numFmtId="164" fontId="11" fillId="0" borderId="73" xfId="0" applyNumberFormat="1" applyFont="1" applyFill="1" applyBorder="1" applyAlignment="1" applyProtection="1">
      <alignment horizontal="right" vertical="center"/>
    </xf>
    <xf numFmtId="165" fontId="11" fillId="0" borderId="74" xfId="0" applyNumberFormat="1" applyFont="1" applyFill="1" applyBorder="1" applyAlignment="1" applyProtection="1">
      <alignment horizontal="right" vertical="center"/>
    </xf>
    <xf numFmtId="0" fontId="11" fillId="0" borderId="149" xfId="0" applyFont="1" applyFill="1" applyBorder="1" applyAlignment="1" applyProtection="1">
      <alignment horizontal="right" vertical="center"/>
    </xf>
    <xf numFmtId="2" fontId="11" fillId="0" borderId="74" xfId="0" applyNumberFormat="1" applyFont="1" applyFill="1" applyBorder="1" applyAlignment="1" applyProtection="1">
      <alignment horizontal="right" vertical="center"/>
    </xf>
    <xf numFmtId="164" fontId="11" fillId="0" borderId="149" xfId="0" applyNumberFormat="1" applyFont="1" applyFill="1" applyBorder="1" applyAlignment="1" applyProtection="1">
      <alignment horizontal="right" vertical="center"/>
    </xf>
    <xf numFmtId="165" fontId="11" fillId="0" borderId="76" xfId="0" applyNumberFormat="1" applyFont="1" applyFill="1" applyBorder="1" applyAlignment="1" applyProtection="1">
      <alignment horizontal="right" vertical="center"/>
    </xf>
    <xf numFmtId="164" fontId="11" fillId="0" borderId="75" xfId="0" applyNumberFormat="1" applyFont="1" applyFill="1" applyBorder="1" applyAlignment="1" applyProtection="1">
      <alignment horizontal="right" vertical="center"/>
    </xf>
    <xf numFmtId="164" fontId="11" fillId="0" borderId="77" xfId="0" applyNumberFormat="1" applyFont="1" applyFill="1" applyBorder="1" applyAlignment="1" applyProtection="1">
      <alignment horizontal="right" vertical="center"/>
    </xf>
    <xf numFmtId="165" fontId="11" fillId="0" borderId="78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3" fontId="11" fillId="0" borderId="34" xfId="0" applyNumberFormat="1" applyFont="1" applyFill="1" applyBorder="1" applyAlignment="1" applyProtection="1">
      <alignment horizontal="right" vertical="center" shrinkToFit="1"/>
    </xf>
    <xf numFmtId="3" fontId="11" fillId="0" borderId="35" xfId="0" applyNumberFormat="1" applyFont="1" applyFill="1" applyBorder="1" applyAlignment="1" applyProtection="1">
      <alignment horizontal="right" vertical="center" shrinkToFit="1"/>
    </xf>
    <xf numFmtId="3" fontId="11" fillId="0" borderId="136" xfId="0" applyNumberFormat="1" applyFont="1" applyFill="1" applyBorder="1" applyAlignment="1" applyProtection="1">
      <alignment horizontal="right" vertical="center" shrinkToFit="1"/>
    </xf>
    <xf numFmtId="164" fontId="11" fillId="0" borderId="34" xfId="0" applyNumberFormat="1" applyFont="1" applyFill="1" applyBorder="1" applyAlignment="1" applyProtection="1">
      <alignment horizontal="right" vertical="center" shrinkToFit="1"/>
    </xf>
    <xf numFmtId="165" fontId="11" fillId="0" borderId="37" xfId="0" applyNumberFormat="1" applyFont="1" applyFill="1" applyBorder="1" applyAlignment="1" applyProtection="1">
      <alignment horizontal="right" vertical="center" shrinkToFit="1"/>
    </xf>
    <xf numFmtId="0" fontId="11" fillId="0" borderId="79" xfId="0" applyFont="1" applyFill="1" applyBorder="1" applyAlignment="1" applyProtection="1">
      <alignment horizontal="right" vertical="center" shrinkToFit="1"/>
    </xf>
    <xf numFmtId="0" fontId="11" fillId="0" borderId="37" xfId="0" applyFont="1" applyFill="1" applyBorder="1" applyAlignment="1" applyProtection="1">
      <alignment horizontal="right" vertical="center" shrinkToFit="1"/>
    </xf>
    <xf numFmtId="164" fontId="11" fillId="0" borderId="79" xfId="0" applyNumberFormat="1" applyFont="1" applyFill="1" applyBorder="1" applyAlignment="1" applyProtection="1">
      <alignment horizontal="right" vertical="center" shrinkToFit="1"/>
    </xf>
    <xf numFmtId="165" fontId="11" fillId="0" borderId="39" xfId="0" applyNumberFormat="1" applyFont="1" applyFill="1" applyBorder="1" applyAlignment="1" applyProtection="1">
      <alignment horizontal="right" vertical="center"/>
    </xf>
    <xf numFmtId="164" fontId="11" fillId="0" borderId="38" xfId="0" applyNumberFormat="1" applyFont="1" applyFill="1" applyBorder="1" applyAlignment="1" applyProtection="1">
      <alignment horizontal="right" vertical="center" shrinkToFit="1"/>
    </xf>
    <xf numFmtId="165" fontId="11" fillId="0" borderId="37" xfId="0" applyNumberFormat="1" applyFont="1" applyFill="1" applyBorder="1" applyAlignment="1" applyProtection="1">
      <alignment horizontal="right" vertical="center"/>
    </xf>
    <xf numFmtId="165" fontId="11" fillId="0" borderId="39" xfId="0" applyNumberFormat="1" applyFont="1" applyFill="1" applyBorder="1" applyAlignment="1" applyProtection="1">
      <alignment horizontal="right" vertical="center" shrinkToFit="1"/>
    </xf>
    <xf numFmtId="164" fontId="11" fillId="0" borderId="36" xfId="0" applyNumberFormat="1" applyFont="1" applyFill="1" applyBorder="1" applyAlignment="1" applyProtection="1">
      <alignment horizontal="right" vertical="center" shrinkToFit="1"/>
    </xf>
    <xf numFmtId="165" fontId="11" fillId="0" borderId="40" xfId="0" applyNumberFormat="1" applyFont="1" applyFill="1" applyBorder="1" applyAlignment="1" applyProtection="1">
      <alignment horizontal="right" vertical="center" shrinkToFit="1"/>
    </xf>
    <xf numFmtId="3" fontId="11" fillId="0" borderId="33" xfId="0" applyNumberFormat="1" applyFont="1" applyFill="1" applyBorder="1" applyAlignment="1" applyProtection="1">
      <alignment horizontal="right" vertical="center"/>
    </xf>
    <xf numFmtId="3" fontId="11" fillId="0" borderId="54" xfId="0" applyNumberFormat="1" applyFont="1" applyFill="1" applyBorder="1" applyAlignment="1" applyProtection="1">
      <alignment horizontal="right" vertical="center"/>
    </xf>
    <xf numFmtId="3" fontId="11" fillId="0" borderId="138" xfId="0" applyNumberFormat="1" applyFont="1" applyFill="1" applyBorder="1" applyAlignment="1" applyProtection="1">
      <alignment horizontal="right" vertical="center"/>
    </xf>
    <xf numFmtId="164" fontId="11" fillId="0" borderId="33" xfId="0" applyNumberFormat="1" applyFont="1" applyFill="1" applyBorder="1" applyAlignment="1" applyProtection="1">
      <alignment horizontal="right" vertical="center"/>
    </xf>
    <xf numFmtId="165" fontId="11" fillId="0" borderId="56" xfId="0" applyNumberFormat="1" applyFont="1" applyFill="1" applyBorder="1" applyAlignment="1" applyProtection="1">
      <alignment horizontal="right" vertical="center"/>
    </xf>
    <xf numFmtId="0" fontId="11" fillId="0" borderId="177" xfId="0" applyFont="1" applyFill="1" applyBorder="1" applyAlignment="1" applyProtection="1">
      <alignment horizontal="right" vertical="center"/>
    </xf>
    <xf numFmtId="0" fontId="11" fillId="0" borderId="56" xfId="0" applyFont="1" applyFill="1" applyBorder="1" applyAlignment="1" applyProtection="1">
      <alignment horizontal="right" vertical="center"/>
    </xf>
    <xf numFmtId="164" fontId="11" fillId="0" borderId="177" xfId="0" applyNumberFormat="1" applyFont="1" applyFill="1" applyBorder="1" applyAlignment="1" applyProtection="1">
      <alignment horizontal="right" vertical="center"/>
    </xf>
    <xf numFmtId="165" fontId="11" fillId="0" borderId="58" xfId="0" applyNumberFormat="1" applyFont="1" applyFill="1" applyBorder="1" applyAlignment="1" applyProtection="1">
      <alignment horizontal="right" vertical="center"/>
    </xf>
    <xf numFmtId="164" fontId="11" fillId="0" borderId="57" xfId="0" applyNumberFormat="1" applyFont="1" applyFill="1" applyBorder="1" applyAlignment="1" applyProtection="1">
      <alignment horizontal="right" vertical="center"/>
    </xf>
    <xf numFmtId="164" fontId="11" fillId="0" borderId="55" xfId="0" applyNumberFormat="1" applyFont="1" applyFill="1" applyBorder="1" applyAlignment="1" applyProtection="1">
      <alignment horizontal="right" vertical="center"/>
    </xf>
    <xf numFmtId="165" fontId="11" fillId="0" borderId="59" xfId="0" applyNumberFormat="1" applyFont="1" applyFill="1" applyBorder="1" applyAlignment="1" applyProtection="1">
      <alignment horizontal="right" vertical="center"/>
    </xf>
    <xf numFmtId="0" fontId="11" fillId="0" borderId="27" xfId="2" applyFont="1" applyBorder="1" applyAlignment="1">
      <alignment horizontal="left" vertical="center" indent="1"/>
    </xf>
    <xf numFmtId="0" fontId="11" fillId="0" borderId="34" xfId="2" applyFont="1" applyBorder="1" applyAlignment="1">
      <alignment horizontal="left" vertical="center" indent="1"/>
    </xf>
    <xf numFmtId="0" fontId="11" fillId="0" borderId="33" xfId="2" applyFont="1" applyBorder="1" applyAlignment="1">
      <alignment horizontal="left" vertical="center" indent="1"/>
    </xf>
    <xf numFmtId="0" fontId="11" fillId="0" borderId="67" xfId="2" applyFont="1" applyBorder="1" applyAlignment="1">
      <alignment horizontal="left" vertical="center" indent="1"/>
    </xf>
    <xf numFmtId="0" fontId="11" fillId="0" borderId="73" xfId="2" applyFont="1" applyBorder="1" applyAlignment="1">
      <alignment horizontal="left" vertical="center" indent="1"/>
    </xf>
    <xf numFmtId="0" fontId="5" fillId="0" borderId="22" xfId="0" applyFont="1" applyFill="1" applyBorder="1" applyAlignment="1" applyProtection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5" fontId="5" fillId="0" borderId="23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5" fontId="5" fillId="0" borderId="24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center" indent="1"/>
    </xf>
    <xf numFmtId="164" fontId="11" fillId="0" borderId="27" xfId="0" applyNumberFormat="1" applyFont="1" applyFill="1" applyBorder="1" applyAlignment="1" applyProtection="1">
      <alignment horizontal="center" vertical="center"/>
    </xf>
    <xf numFmtId="164" fontId="11" fillId="0" borderId="124" xfId="0" applyNumberFormat="1" applyFont="1" applyFill="1" applyBorder="1" applyAlignment="1" applyProtection="1">
      <alignment horizontal="center" vertical="center"/>
    </xf>
    <xf numFmtId="164" fontId="11" fillId="0" borderId="28" xfId="0" applyNumberFormat="1" applyFont="1" applyFill="1" applyBorder="1" applyAlignment="1" applyProtection="1">
      <alignment horizontal="center" vertical="center"/>
    </xf>
    <xf numFmtId="164" fontId="11" fillId="0" borderId="27" xfId="1" applyNumberFormat="1" applyFont="1" applyFill="1" applyBorder="1" applyAlignment="1" applyProtection="1">
      <alignment horizontal="center" vertical="center"/>
    </xf>
    <xf numFmtId="165" fontId="11" fillId="0" borderId="29" xfId="1" applyNumberFormat="1" applyFont="1" applyFill="1" applyBorder="1" applyAlignment="1" applyProtection="1">
      <alignment horizontal="center" vertical="center"/>
    </xf>
    <xf numFmtId="164" fontId="11" fillId="0" borderId="30" xfId="1" applyNumberFormat="1" applyFont="1" applyFill="1" applyBorder="1" applyAlignment="1" applyProtection="1">
      <alignment horizontal="center" vertical="center"/>
    </xf>
    <xf numFmtId="165" fontId="11" fillId="0" borderId="31" xfId="1" applyNumberFormat="1" applyFont="1" applyFill="1" applyBorder="1" applyAlignment="1" applyProtection="1">
      <alignment horizontal="center" vertical="center"/>
    </xf>
    <xf numFmtId="164" fontId="11" fillId="0" borderId="28" xfId="1" applyNumberFormat="1" applyFont="1" applyFill="1" applyBorder="1" applyAlignment="1" applyProtection="1">
      <alignment horizontal="center" vertical="center"/>
    </xf>
    <xf numFmtId="165" fontId="5" fillId="0" borderId="29" xfId="0" applyNumberFormat="1" applyFont="1" applyFill="1" applyBorder="1" applyAlignment="1" applyProtection="1">
      <alignment horizontal="center" vertical="center"/>
    </xf>
    <xf numFmtId="165" fontId="11" fillId="0" borderId="29" xfId="0" applyNumberFormat="1" applyFont="1" applyFill="1" applyBorder="1" applyAlignment="1" applyProtection="1">
      <alignment horizontal="center" vertical="center"/>
    </xf>
    <xf numFmtId="164" fontId="11" fillId="0" borderId="30" xfId="0" applyNumberFormat="1" applyFont="1" applyFill="1" applyBorder="1" applyAlignment="1" applyProtection="1">
      <alignment horizontal="center" vertical="center"/>
    </xf>
    <xf numFmtId="165" fontId="11" fillId="0" borderId="31" xfId="0" applyNumberFormat="1" applyFont="1" applyFill="1" applyBorder="1" applyAlignment="1" applyProtection="1">
      <alignment horizontal="center" vertical="center"/>
    </xf>
    <xf numFmtId="165" fontId="11" fillId="0" borderId="32" xfId="0" applyNumberFormat="1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left" vertical="center" wrapText="1" indent="1"/>
    </xf>
    <xf numFmtId="164" fontId="11" fillId="0" borderId="34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center" vertical="center"/>
    </xf>
    <xf numFmtId="164" fontId="11" fillId="0" borderId="36" xfId="0" applyNumberFormat="1" applyFont="1" applyFill="1" applyBorder="1" applyAlignment="1" applyProtection="1">
      <alignment horizontal="center" vertical="center"/>
    </xf>
    <xf numFmtId="164" fontId="11" fillId="0" borderId="34" xfId="1" applyNumberFormat="1" applyFont="1" applyFill="1" applyBorder="1" applyAlignment="1" applyProtection="1">
      <alignment horizontal="center" vertical="center"/>
    </xf>
    <xf numFmtId="165" fontId="11" fillId="0" borderId="37" xfId="1" applyNumberFormat="1" applyFont="1" applyFill="1" applyBorder="1" applyAlignment="1" applyProtection="1">
      <alignment horizontal="center" vertical="center"/>
    </xf>
    <xf numFmtId="164" fontId="11" fillId="0" borderId="38" xfId="1" applyNumberFormat="1" applyFont="1" applyFill="1" applyBorder="1" applyAlignment="1" applyProtection="1">
      <alignment horizontal="center" vertical="center"/>
    </xf>
    <xf numFmtId="165" fontId="11" fillId="0" borderId="39" xfId="1" applyNumberFormat="1" applyFont="1" applyFill="1" applyBorder="1" applyAlignment="1" applyProtection="1">
      <alignment horizontal="center" vertical="center"/>
    </xf>
    <xf numFmtId="165" fontId="11" fillId="0" borderId="37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164" fontId="11" fillId="0" borderId="38" xfId="0" applyNumberFormat="1" applyFont="1" applyFill="1" applyBorder="1" applyAlignment="1" applyProtection="1">
      <alignment horizontal="center" vertical="center"/>
    </xf>
    <xf numFmtId="165" fontId="11" fillId="0" borderId="40" xfId="0" applyNumberFormat="1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left" vertical="center" indent="1"/>
    </xf>
    <xf numFmtId="164" fontId="11" fillId="0" borderId="7" xfId="0" applyNumberFormat="1" applyFont="1" applyFill="1" applyBorder="1" applyAlignment="1" applyProtection="1">
      <alignment horizontal="right" vertical="center" shrinkToFit="1"/>
    </xf>
    <xf numFmtId="164" fontId="11" fillId="0" borderId="8" xfId="0" applyNumberFormat="1" applyFont="1" applyFill="1" applyBorder="1" applyAlignment="1" applyProtection="1">
      <alignment horizontal="right" vertical="center" shrinkToFit="1"/>
    </xf>
    <xf numFmtId="164" fontId="11" fillId="0" borderId="0" xfId="0" applyNumberFormat="1" applyFont="1" applyFill="1" applyBorder="1" applyAlignment="1" applyProtection="1">
      <alignment horizontal="right" vertical="center" shrinkToFit="1"/>
    </xf>
    <xf numFmtId="164" fontId="11" fillId="0" borderId="7" xfId="1" applyNumberFormat="1" applyFont="1" applyFill="1" applyBorder="1" applyAlignment="1" applyProtection="1">
      <alignment horizontal="right" vertical="center"/>
    </xf>
    <xf numFmtId="165" fontId="11" fillId="0" borderId="16" xfId="1" applyNumberFormat="1" applyFont="1" applyFill="1" applyBorder="1" applyAlignment="1" applyProtection="1">
      <alignment horizontal="right" vertical="center"/>
    </xf>
    <xf numFmtId="164" fontId="11" fillId="0" borderId="17" xfId="1" applyNumberFormat="1" applyFont="1" applyFill="1" applyBorder="1" applyAlignment="1" applyProtection="1">
      <alignment horizontal="right" vertical="center"/>
    </xf>
    <xf numFmtId="165" fontId="11" fillId="0" borderId="18" xfId="1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right" vertical="center"/>
    </xf>
    <xf numFmtId="164" fontId="11" fillId="0" borderId="7" xfId="0" applyNumberFormat="1" applyFont="1" applyFill="1" applyBorder="1" applyAlignment="1" applyProtection="1">
      <alignment horizontal="right" vertical="center"/>
    </xf>
    <xf numFmtId="165" fontId="11" fillId="0" borderId="16" xfId="0" applyNumberFormat="1" applyFont="1" applyFill="1" applyBorder="1" applyAlignment="1" applyProtection="1">
      <alignment horizontal="right" vertical="center"/>
    </xf>
    <xf numFmtId="164" fontId="11" fillId="0" borderId="17" xfId="0" applyNumberFormat="1" applyFont="1" applyFill="1" applyBorder="1" applyAlignment="1" applyProtection="1">
      <alignment horizontal="right" vertical="center"/>
    </xf>
    <xf numFmtId="165" fontId="11" fillId="0" borderId="18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5" fontId="11" fillId="0" borderId="21" xfId="0" applyNumberFormat="1" applyFont="1" applyFill="1" applyBorder="1" applyAlignment="1" applyProtection="1">
      <alignment horizontal="right" vertical="center"/>
    </xf>
    <xf numFmtId="0" fontId="11" fillId="0" borderId="34" xfId="0" applyFont="1" applyFill="1" applyBorder="1" applyAlignment="1" applyProtection="1">
      <alignment horizontal="left" vertical="center" indent="1"/>
    </xf>
    <xf numFmtId="164" fontId="11" fillId="0" borderId="34" xfId="0" applyNumberFormat="1" applyFont="1" applyFill="1" applyBorder="1" applyAlignment="1" applyProtection="1">
      <alignment horizontal="right" vertical="center"/>
    </xf>
    <xf numFmtId="164" fontId="11" fillId="0" borderId="35" xfId="0" applyNumberFormat="1" applyFont="1" applyFill="1" applyBorder="1" applyAlignment="1" applyProtection="1">
      <alignment horizontal="right" vertical="center"/>
    </xf>
    <xf numFmtId="164" fontId="11" fillId="0" borderId="36" xfId="0" applyNumberFormat="1" applyFont="1" applyFill="1" applyBorder="1" applyAlignment="1" applyProtection="1">
      <alignment horizontal="right" vertical="center"/>
    </xf>
    <xf numFmtId="164" fontId="11" fillId="0" borderId="34" xfId="1" applyNumberFormat="1" applyFont="1" applyFill="1" applyBorder="1" applyAlignment="1" applyProtection="1">
      <alignment horizontal="right" vertical="center"/>
    </xf>
    <xf numFmtId="165" fontId="11" fillId="0" borderId="37" xfId="1" applyNumberFormat="1" applyFont="1" applyFill="1" applyBorder="1" applyAlignment="1" applyProtection="1">
      <alignment horizontal="right" vertical="center"/>
    </xf>
    <xf numFmtId="164" fontId="11" fillId="0" borderId="38" xfId="1" applyNumberFormat="1" applyFont="1" applyFill="1" applyBorder="1" applyAlignment="1" applyProtection="1">
      <alignment horizontal="right" vertical="center"/>
    </xf>
    <xf numFmtId="165" fontId="11" fillId="0" borderId="39" xfId="1" applyNumberFormat="1" applyFont="1" applyFill="1" applyBorder="1" applyAlignment="1" applyProtection="1">
      <alignment horizontal="right" vertical="center"/>
    </xf>
    <xf numFmtId="164" fontId="11" fillId="0" borderId="36" xfId="1" applyNumberFormat="1" applyFont="1" applyFill="1" applyBorder="1" applyAlignment="1" applyProtection="1">
      <alignment horizontal="right" vertical="center"/>
    </xf>
    <xf numFmtId="165" fontId="11" fillId="0" borderId="40" xfId="0" applyNumberFormat="1" applyFont="1" applyFill="1" applyBorder="1" applyAlignment="1" applyProtection="1">
      <alignment horizontal="right" vertical="center" indent="1"/>
    </xf>
    <xf numFmtId="164" fontId="11" fillId="0" borderId="38" xfId="0" applyNumberFormat="1" applyFont="1" applyFill="1" applyBorder="1" applyAlignment="1" applyProtection="1">
      <alignment horizontal="right" vertical="center"/>
    </xf>
    <xf numFmtId="165" fontId="11" fillId="0" borderId="40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left" vertical="center" indent="1"/>
    </xf>
    <xf numFmtId="164" fontId="11" fillId="0" borderId="8" xfId="0" applyNumberFormat="1" applyFont="1" applyFill="1" applyBorder="1" applyAlignment="1" applyProtection="1">
      <alignment horizontal="right" vertical="center"/>
    </xf>
    <xf numFmtId="165" fontId="11" fillId="0" borderId="21" xfId="0" applyNumberFormat="1" applyFont="1" applyFill="1" applyBorder="1" applyAlignment="1" applyProtection="1">
      <alignment horizontal="right" vertical="center" indent="1"/>
    </xf>
    <xf numFmtId="0" fontId="5" fillId="0" borderId="41" xfId="0" applyFont="1" applyFill="1" applyBorder="1" applyAlignment="1" applyProtection="1">
      <alignment horizontal="left" vertical="center"/>
    </xf>
    <xf numFmtId="164" fontId="5" fillId="0" borderId="41" xfId="0" applyNumberFormat="1" applyFont="1" applyFill="1" applyBorder="1" applyAlignment="1" applyProtection="1">
      <alignment horizontal="center" vertical="center"/>
    </xf>
    <xf numFmtId="164" fontId="5" fillId="0" borderId="105" xfId="0" applyNumberFormat="1" applyFont="1" applyFill="1" applyBorder="1" applyAlignment="1" applyProtection="1">
      <alignment horizontal="center" vertical="center"/>
    </xf>
    <xf numFmtId="164" fontId="5" fillId="0" borderId="42" xfId="0" applyNumberFormat="1" applyFont="1" applyFill="1" applyBorder="1" applyAlignment="1" applyProtection="1">
      <alignment horizontal="center" vertical="center"/>
    </xf>
    <xf numFmtId="164" fontId="5" fillId="0" borderId="43" xfId="0" applyNumberFormat="1" applyFont="1" applyFill="1" applyBorder="1" applyAlignment="1" applyProtection="1">
      <alignment horizontal="center" vertical="center"/>
    </xf>
    <xf numFmtId="166" fontId="5" fillId="0" borderId="23" xfId="0" applyNumberFormat="1" applyFont="1" applyFill="1" applyBorder="1" applyAlignment="1" applyProtection="1">
      <alignment horizontal="center" vertical="center"/>
    </xf>
    <xf numFmtId="164" fontId="5" fillId="0" borderId="44" xfId="0" applyNumberFormat="1" applyFont="1" applyFill="1" applyBorder="1" applyAlignment="1" applyProtection="1">
      <alignment horizontal="center" vertical="center"/>
    </xf>
    <xf numFmtId="166" fontId="5" fillId="0" borderId="45" xfId="0" applyNumberFormat="1" applyFont="1" applyFill="1" applyBorder="1" applyAlignment="1" applyProtection="1">
      <alignment horizontal="center" vertical="center"/>
    </xf>
    <xf numFmtId="166" fontId="5" fillId="0" borderId="25" xfId="0" applyNumberFormat="1" applyFont="1" applyFill="1" applyBorder="1" applyAlignment="1" applyProtection="1">
      <alignment horizontal="center" vertical="center"/>
    </xf>
    <xf numFmtId="166" fontId="5" fillId="0" borderId="24" xfId="0" applyNumberFormat="1" applyFont="1" applyFill="1" applyBorder="1" applyAlignment="1" applyProtection="1">
      <alignment horizontal="center" vertical="center"/>
    </xf>
    <xf numFmtId="166" fontId="5" fillId="0" borderId="46" xfId="0" applyNumberFormat="1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left" vertical="center" indent="1" shrinkToFit="1"/>
    </xf>
    <xf numFmtId="164" fontId="11" fillId="0" borderId="47" xfId="0" applyNumberFormat="1" applyFont="1" applyFill="1" applyBorder="1" applyAlignment="1" applyProtection="1">
      <alignment horizontal="center" vertical="center"/>
    </xf>
    <xf numFmtId="164" fontId="11" fillId="0" borderId="48" xfId="0" applyNumberFormat="1" applyFont="1" applyFill="1" applyBorder="1" applyAlignment="1" applyProtection="1">
      <alignment horizontal="center" vertical="center"/>
    </xf>
    <xf numFmtId="164" fontId="11" fillId="0" borderId="49" xfId="0" applyNumberFormat="1" applyFont="1" applyFill="1" applyBorder="1" applyAlignment="1" applyProtection="1">
      <alignment horizontal="center" vertical="center"/>
    </xf>
    <xf numFmtId="164" fontId="11" fillId="0" borderId="47" xfId="1" applyNumberFormat="1" applyFont="1" applyFill="1" applyBorder="1" applyAlignment="1" applyProtection="1">
      <alignment horizontal="center" vertical="center"/>
    </xf>
    <xf numFmtId="165" fontId="11" fillId="0" borderId="50" xfId="1" applyNumberFormat="1" applyFont="1" applyFill="1" applyBorder="1" applyAlignment="1" applyProtection="1">
      <alignment horizontal="center" vertical="center"/>
    </xf>
    <xf numFmtId="164" fontId="11" fillId="0" borderId="51" xfId="1" applyNumberFormat="1" applyFont="1" applyFill="1" applyBorder="1" applyAlignment="1" applyProtection="1">
      <alignment horizontal="center" vertical="center"/>
    </xf>
    <xf numFmtId="165" fontId="11" fillId="0" borderId="52" xfId="1" applyNumberFormat="1" applyFont="1" applyFill="1" applyBorder="1" applyAlignment="1" applyProtection="1">
      <alignment horizontal="center" vertical="center"/>
    </xf>
    <xf numFmtId="164" fontId="11" fillId="0" borderId="49" xfId="1" applyNumberFormat="1" applyFont="1" applyFill="1" applyBorder="1" applyAlignment="1" applyProtection="1">
      <alignment horizontal="center" vertical="center"/>
    </xf>
    <xf numFmtId="166" fontId="11" fillId="0" borderId="32" xfId="0" applyNumberFormat="1" applyFont="1" applyFill="1" applyBorder="1" applyAlignment="1" applyProtection="1">
      <alignment horizontal="center" vertical="center"/>
    </xf>
    <xf numFmtId="165" fontId="11" fillId="0" borderId="50" xfId="0" applyNumberFormat="1" applyFont="1" applyFill="1" applyBorder="1" applyAlignment="1" applyProtection="1">
      <alignment horizontal="center" vertical="center"/>
    </xf>
    <xf numFmtId="164" fontId="11" fillId="0" borderId="51" xfId="0" applyNumberFormat="1" applyFont="1" applyFill="1" applyBorder="1" applyAlignment="1" applyProtection="1">
      <alignment horizontal="center" vertical="center"/>
    </xf>
    <xf numFmtId="165" fontId="11" fillId="0" borderId="52" xfId="0" applyNumberFormat="1" applyFont="1" applyFill="1" applyBorder="1" applyAlignment="1" applyProtection="1">
      <alignment horizontal="center" vertical="center"/>
    </xf>
    <xf numFmtId="165" fontId="11" fillId="0" borderId="53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/>
    </xf>
    <xf numFmtId="164" fontId="11" fillId="0" borderId="54" xfId="0" applyNumberFormat="1" applyFont="1" applyFill="1" applyBorder="1" applyAlignment="1" applyProtection="1">
      <alignment horizontal="center" vertical="center"/>
    </xf>
    <xf numFmtId="164" fontId="11" fillId="0" borderId="55" xfId="0" applyNumberFormat="1" applyFont="1" applyFill="1" applyBorder="1" applyAlignment="1" applyProtection="1">
      <alignment horizontal="center" vertical="center"/>
    </xf>
    <xf numFmtId="164" fontId="11" fillId="0" borderId="33" xfId="1" applyNumberFormat="1" applyFont="1" applyFill="1" applyBorder="1" applyAlignment="1" applyProtection="1">
      <alignment horizontal="center" vertical="center"/>
    </xf>
    <xf numFmtId="165" fontId="11" fillId="0" borderId="56" xfId="1" applyNumberFormat="1" applyFont="1" applyFill="1" applyBorder="1" applyAlignment="1" applyProtection="1">
      <alignment horizontal="center" vertical="center"/>
    </xf>
    <xf numFmtId="164" fontId="11" fillId="0" borderId="57" xfId="1" applyNumberFormat="1" applyFont="1" applyFill="1" applyBorder="1" applyAlignment="1" applyProtection="1">
      <alignment horizontal="center" vertical="center"/>
    </xf>
    <xf numFmtId="165" fontId="11" fillId="0" borderId="58" xfId="1" applyNumberFormat="1" applyFont="1" applyFill="1" applyBorder="1" applyAlignment="1" applyProtection="1">
      <alignment horizontal="center" vertical="center"/>
    </xf>
    <xf numFmtId="164" fontId="11" fillId="0" borderId="55" xfId="1" applyNumberFormat="1" applyFont="1" applyFill="1" applyBorder="1" applyAlignment="1" applyProtection="1">
      <alignment horizontal="center" vertical="center"/>
    </xf>
    <xf numFmtId="166" fontId="11" fillId="0" borderId="21" xfId="0" applyNumberFormat="1" applyFont="1" applyFill="1" applyBorder="1" applyAlignment="1" applyProtection="1">
      <alignment horizontal="center" vertical="center"/>
    </xf>
    <xf numFmtId="165" fontId="11" fillId="0" borderId="56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5" fontId="11" fillId="0" borderId="58" xfId="0" applyNumberFormat="1" applyFont="1" applyFill="1" applyBorder="1" applyAlignment="1" applyProtection="1">
      <alignment horizontal="center" vertical="center"/>
    </xf>
    <xf numFmtId="165" fontId="11" fillId="0" borderId="59" xfId="0" applyNumberFormat="1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left" vertical="center"/>
    </xf>
    <xf numFmtId="164" fontId="5" fillId="0" borderId="60" xfId="0" applyNumberFormat="1" applyFont="1" applyFill="1" applyBorder="1" applyAlignment="1" applyProtection="1">
      <alignment horizontal="center" vertical="center"/>
    </xf>
    <xf numFmtId="164" fontId="5" fillId="0" borderId="111" xfId="0" applyNumberFormat="1" applyFont="1" applyFill="1" applyBorder="1" applyAlignment="1" applyProtection="1">
      <alignment horizontal="center" vertical="center"/>
    </xf>
    <xf numFmtId="164" fontId="5" fillId="0" borderId="61" xfId="0" applyNumberFormat="1" applyFont="1" applyFill="1" applyBorder="1" applyAlignment="1" applyProtection="1">
      <alignment horizontal="center" vertical="center"/>
    </xf>
    <xf numFmtId="166" fontId="5" fillId="0" borderId="62" xfId="0" applyNumberFormat="1" applyFont="1" applyFill="1" applyBorder="1" applyAlignment="1" applyProtection="1">
      <alignment horizontal="center" vertical="center"/>
    </xf>
    <xf numFmtId="164" fontId="5" fillId="0" borderId="63" xfId="0" applyNumberFormat="1" applyFont="1" applyFill="1" applyBorder="1" applyAlignment="1" applyProtection="1">
      <alignment horizontal="center"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4" fontId="5" fillId="0" borderId="65" xfId="0" applyNumberFormat="1" applyFont="1" applyFill="1" applyBorder="1" applyAlignment="1" applyProtection="1">
      <alignment horizontal="center" vertical="center"/>
    </xf>
    <xf numFmtId="166" fontId="5" fillId="0" borderId="66" xfId="0" applyNumberFormat="1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left" vertical="center" indent="1"/>
    </xf>
    <xf numFmtId="166" fontId="11" fillId="0" borderId="53" xfId="0" applyNumberFormat="1" applyFont="1" applyFill="1" applyBorder="1" applyAlignment="1" applyProtection="1">
      <alignment horizontal="center" vertical="center"/>
    </xf>
    <xf numFmtId="164" fontId="11" fillId="0" borderId="36" xfId="1" applyNumberFormat="1" applyFont="1" applyFill="1" applyBorder="1" applyAlignment="1" applyProtection="1">
      <alignment horizontal="center" vertical="center"/>
    </xf>
    <xf numFmtId="166" fontId="11" fillId="0" borderId="40" xfId="0" applyNumberFormat="1" applyFont="1" applyFill="1" applyBorder="1" applyAlignment="1" applyProtection="1">
      <alignment horizontal="center" vertical="center"/>
    </xf>
    <xf numFmtId="165" fontId="11" fillId="0" borderId="39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8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165" fontId="11" fillId="0" borderId="16" xfId="1" applyNumberFormat="1" applyFont="1" applyFill="1" applyBorder="1" applyAlignment="1" applyProtection="1">
      <alignment horizontal="center" vertical="center"/>
    </xf>
    <xf numFmtId="164" fontId="11" fillId="0" borderId="17" xfId="1" applyNumberFormat="1" applyFont="1" applyFill="1" applyBorder="1" applyAlignment="1" applyProtection="1">
      <alignment horizontal="center" vertical="center"/>
    </xf>
    <xf numFmtId="165" fontId="11" fillId="0" borderId="18" xfId="1" applyNumberFormat="1" applyFont="1" applyFill="1" applyBorder="1" applyAlignment="1" applyProtection="1">
      <alignment horizontal="center" vertical="center"/>
    </xf>
    <xf numFmtId="164" fontId="11" fillId="0" borderId="0" xfId="1" applyNumberFormat="1" applyFont="1" applyFill="1" applyBorder="1" applyAlignment="1" applyProtection="1">
      <alignment horizontal="center" vertical="center"/>
    </xf>
    <xf numFmtId="166" fontId="11" fillId="0" borderId="16" xfId="0" applyNumberFormat="1" applyFont="1" applyFill="1" applyBorder="1" applyAlignment="1" applyProtection="1">
      <alignment horizontal="center" vertical="center"/>
    </xf>
    <xf numFmtId="165" fontId="11" fillId="0" borderId="16" xfId="0" applyNumberFormat="1" applyFont="1" applyFill="1" applyBorder="1" applyAlignment="1" applyProtection="1">
      <alignment horizontal="center" vertical="center"/>
    </xf>
    <xf numFmtId="164" fontId="11" fillId="0" borderId="17" xfId="0" applyNumberFormat="1" applyFont="1" applyFill="1" applyBorder="1" applyAlignment="1" applyProtection="1">
      <alignment horizontal="center" vertical="center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1" fillId="0" borderId="2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5" fontId="5" fillId="0" borderId="37" xfId="0" applyNumberFormat="1" applyFont="1" applyFill="1" applyBorder="1" applyAlignment="1" applyProtection="1">
      <alignment horizontal="center" vertical="center"/>
    </xf>
    <xf numFmtId="165" fontId="11" fillId="0" borderId="59" xfId="0" applyNumberFormat="1" applyFont="1" applyFill="1" applyBorder="1" applyAlignment="1" applyProtection="1">
      <alignment horizontal="left" vertical="center"/>
    </xf>
    <xf numFmtId="165" fontId="5" fillId="0" borderId="56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97" xfId="0" applyNumberFormat="1" applyFont="1" applyFill="1" applyBorder="1" applyAlignment="1" applyProtection="1">
      <alignment horizontal="center" vertical="center"/>
    </xf>
    <xf numFmtId="164" fontId="5" fillId="0" borderId="125" xfId="0" applyNumberFormat="1" applyFont="1" applyFill="1" applyBorder="1" applyAlignment="1" applyProtection="1">
      <alignment horizontal="center" vertical="center"/>
    </xf>
    <xf numFmtId="164" fontId="5" fillId="0" borderId="126" xfId="0" applyNumberFormat="1" applyFont="1" applyFill="1" applyBorder="1" applyAlignment="1" applyProtection="1">
      <alignment horizontal="center" vertical="center"/>
    </xf>
    <xf numFmtId="164" fontId="11" fillId="0" borderId="67" xfId="1" applyNumberFormat="1" applyFont="1" applyFill="1" applyBorder="1" applyAlignment="1" applyProtection="1">
      <alignment horizontal="center" vertical="center"/>
    </xf>
    <xf numFmtId="165" fontId="11" fillId="0" borderId="68" xfId="1" applyNumberFormat="1" applyFont="1" applyFill="1" applyBorder="1" applyAlignment="1" applyProtection="1">
      <alignment horizontal="center" vertical="center"/>
    </xf>
    <xf numFmtId="164" fontId="11" fillId="0" borderId="69" xfId="1" applyNumberFormat="1" applyFont="1" applyFill="1" applyBorder="1" applyAlignment="1" applyProtection="1">
      <alignment horizontal="center" vertical="center"/>
    </xf>
    <xf numFmtId="165" fontId="11" fillId="0" borderId="70" xfId="1" applyNumberFormat="1" applyFont="1" applyFill="1" applyBorder="1" applyAlignment="1" applyProtection="1">
      <alignment horizontal="center" vertical="center"/>
    </xf>
    <xf numFmtId="164" fontId="11" fillId="0" borderId="71" xfId="1" applyNumberFormat="1" applyFont="1" applyFill="1" applyBorder="1" applyAlignment="1" applyProtection="1">
      <alignment horizontal="center" vertical="center"/>
    </xf>
    <xf numFmtId="164" fontId="11" fillId="0" borderId="67" xfId="0" applyNumberFormat="1" applyFont="1" applyFill="1" applyBorder="1" applyAlignment="1" applyProtection="1">
      <alignment horizontal="center" vertical="center"/>
    </xf>
    <xf numFmtId="165" fontId="11" fillId="0" borderId="68" xfId="0" applyNumberFormat="1" applyFont="1" applyFill="1" applyBorder="1" applyAlignment="1" applyProtection="1">
      <alignment horizontal="center" vertical="center"/>
    </xf>
    <xf numFmtId="164" fontId="11" fillId="0" borderId="69" xfId="0" applyNumberFormat="1" applyFont="1" applyFill="1" applyBorder="1" applyAlignment="1" applyProtection="1">
      <alignment horizontal="center" vertical="center"/>
    </xf>
    <xf numFmtId="165" fontId="11" fillId="0" borderId="70" xfId="0" applyNumberFormat="1" applyFont="1" applyFill="1" applyBorder="1" applyAlignment="1" applyProtection="1">
      <alignment horizontal="center" vertical="center"/>
    </xf>
    <xf numFmtId="164" fontId="11" fillId="0" borderId="71" xfId="0" applyNumberFormat="1" applyFont="1" applyFill="1" applyBorder="1" applyAlignment="1" applyProtection="1">
      <alignment horizontal="center" vertical="center"/>
    </xf>
    <xf numFmtId="165" fontId="11" fillId="0" borderId="72" xfId="0" applyNumberFormat="1" applyFont="1" applyFill="1" applyBorder="1" applyAlignment="1" applyProtection="1">
      <alignment horizontal="center" vertical="center"/>
    </xf>
    <xf numFmtId="164" fontId="11" fillId="0" borderId="73" xfId="1" applyNumberFormat="1" applyFont="1" applyFill="1" applyBorder="1" applyAlignment="1" applyProtection="1">
      <alignment horizontal="center" vertical="center"/>
    </xf>
    <xf numFmtId="165" fontId="11" fillId="0" borderId="74" xfId="1" applyNumberFormat="1" applyFont="1" applyFill="1" applyBorder="1" applyAlignment="1" applyProtection="1">
      <alignment horizontal="center" vertical="center"/>
    </xf>
    <xf numFmtId="164" fontId="11" fillId="0" borderId="75" xfId="1" applyNumberFormat="1" applyFont="1" applyFill="1" applyBorder="1" applyAlignment="1" applyProtection="1">
      <alignment horizontal="center" vertical="center"/>
    </xf>
    <xf numFmtId="165" fontId="11" fillId="0" borderId="76" xfId="1" applyNumberFormat="1" applyFont="1" applyFill="1" applyBorder="1" applyAlignment="1" applyProtection="1">
      <alignment horizontal="center" vertical="center"/>
    </xf>
    <xf numFmtId="164" fontId="11" fillId="0" borderId="77" xfId="1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/>
    </xf>
    <xf numFmtId="165" fontId="11" fillId="0" borderId="74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5" fontId="11" fillId="0" borderId="76" xfId="0" applyNumberFormat="1" applyFont="1" applyFill="1" applyBorder="1" applyAlignment="1" applyProtection="1">
      <alignment horizontal="center" vertical="center"/>
    </xf>
    <xf numFmtId="164" fontId="11" fillId="0" borderId="77" xfId="0" applyNumberFormat="1" applyFont="1" applyFill="1" applyBorder="1" applyAlignment="1" applyProtection="1">
      <alignment horizontal="center" vertical="center"/>
    </xf>
    <xf numFmtId="165" fontId="11" fillId="0" borderId="78" xfId="0" applyNumberFormat="1" applyFont="1" applyFill="1" applyBorder="1" applyAlignment="1" applyProtection="1">
      <alignment horizontal="center" vertical="center"/>
    </xf>
    <xf numFmtId="165" fontId="5" fillId="0" borderId="74" xfId="0" applyNumberFormat="1" applyFont="1" applyFill="1" applyBorder="1" applyAlignment="1" applyProtection="1">
      <alignment horizontal="center" vertical="center"/>
    </xf>
    <xf numFmtId="164" fontId="5" fillId="0" borderId="36" xfId="0" applyNumberFormat="1" applyFont="1" applyFill="1" applyBorder="1" applyAlignment="1" applyProtection="1">
      <alignment horizontal="center" vertical="center"/>
    </xf>
    <xf numFmtId="165" fontId="11" fillId="0" borderId="21" xfId="0" applyNumberFormat="1" applyFont="1" applyFill="1" applyBorder="1" applyAlignment="1" applyProtection="1">
      <alignment horizontal="left" vertical="center"/>
    </xf>
    <xf numFmtId="165" fontId="5" fillId="0" borderId="16" xfId="0" applyNumberFormat="1" applyFont="1" applyFill="1" applyBorder="1" applyAlignment="1" applyProtection="1">
      <alignment horizontal="center" vertical="center"/>
    </xf>
    <xf numFmtId="165" fontId="5" fillId="0" borderId="62" xfId="0" applyNumberFormat="1" applyFont="1" applyFill="1" applyBorder="1" applyAlignment="1" applyProtection="1">
      <alignment horizontal="center" vertical="center"/>
    </xf>
    <xf numFmtId="165" fontId="5" fillId="0" borderId="64" xfId="0" applyNumberFormat="1" applyFont="1" applyFill="1" applyBorder="1" applyAlignment="1" applyProtection="1">
      <alignment horizontal="center" vertical="center"/>
    </xf>
    <xf numFmtId="164" fontId="11" fillId="0" borderId="61" xfId="0" applyNumberFormat="1" applyFont="1" applyFill="1" applyBorder="1" applyAlignment="1" applyProtection="1">
      <alignment horizontal="center" vertical="center"/>
    </xf>
    <xf numFmtId="165" fontId="11" fillId="0" borderId="62" xfId="0" applyNumberFormat="1" applyFont="1" applyFill="1" applyBorder="1" applyAlignment="1" applyProtection="1">
      <alignment horizontal="center" vertical="center"/>
    </xf>
    <xf numFmtId="165" fontId="5" fillId="0" borderId="66" xfId="0" applyNumberFormat="1" applyFont="1" applyFill="1" applyBorder="1" applyAlignment="1" applyProtection="1">
      <alignment horizontal="center" vertical="center"/>
    </xf>
    <xf numFmtId="0" fontId="11" fillId="0" borderId="122" xfId="0" applyFont="1" applyFill="1" applyBorder="1" applyAlignment="1" applyProtection="1">
      <alignment horizontal="left" vertical="center" indent="1"/>
    </xf>
    <xf numFmtId="164" fontId="11" fillId="0" borderId="79" xfId="0" applyNumberFormat="1" applyFont="1" applyFill="1" applyBorder="1" applyAlignment="1" applyProtection="1">
      <alignment horizontal="center" vertical="center" shrinkToFit="1"/>
    </xf>
    <xf numFmtId="164" fontId="11" fillId="0" borderId="80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right" vertical="center" shrinkToFit="1"/>
    </xf>
    <xf numFmtId="164" fontId="11" fillId="0" borderId="34" xfId="1" applyNumberFormat="1" applyFont="1" applyFill="1" applyBorder="1" applyAlignment="1" applyProtection="1">
      <alignment horizontal="right" vertical="center" shrinkToFit="1"/>
    </xf>
    <xf numFmtId="165" fontId="11" fillId="0" borderId="37" xfId="1" applyNumberFormat="1" applyFont="1" applyFill="1" applyBorder="1" applyAlignment="1" applyProtection="1">
      <alignment horizontal="right" vertical="center" shrinkToFit="1"/>
    </xf>
    <xf numFmtId="164" fontId="11" fillId="0" borderId="38" xfId="1" applyNumberFormat="1" applyFont="1" applyFill="1" applyBorder="1" applyAlignment="1" applyProtection="1">
      <alignment horizontal="right" vertical="center" shrinkToFit="1"/>
    </xf>
    <xf numFmtId="165" fontId="11" fillId="0" borderId="39" xfId="1" applyNumberFormat="1" applyFont="1" applyFill="1" applyBorder="1" applyAlignment="1" applyProtection="1">
      <alignment horizontal="right" vertical="center" shrinkToFit="1"/>
    </xf>
    <xf numFmtId="164" fontId="11" fillId="0" borderId="36" xfId="1" applyNumberFormat="1" applyFont="1" applyFill="1" applyBorder="1" applyAlignment="1" applyProtection="1">
      <alignment horizontal="right" vertical="center" shrinkToFit="1"/>
    </xf>
    <xf numFmtId="164" fontId="5" fillId="0" borderId="81" xfId="0" applyNumberFormat="1" applyFont="1" applyFill="1" applyBorder="1" applyAlignment="1" applyProtection="1">
      <alignment horizontal="center" vertical="center"/>
    </xf>
    <xf numFmtId="165" fontId="11" fillId="0" borderId="66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 indent="1"/>
    </xf>
    <xf numFmtId="164" fontId="11" fillId="0" borderId="10" xfId="0" applyNumberFormat="1" applyFont="1" applyFill="1" applyBorder="1" applyAlignment="1" applyProtection="1">
      <alignment horizontal="center" vertical="center"/>
    </xf>
    <xf numFmtId="164" fontId="11" fillId="0" borderId="82" xfId="0" applyNumberFormat="1" applyFont="1" applyFill="1" applyBorder="1" applyAlignment="1" applyProtection="1">
      <alignment horizontal="center" vertical="center"/>
    </xf>
    <xf numFmtId="164" fontId="11" fillId="0" borderId="11" xfId="0" applyNumberFormat="1" applyFont="1" applyFill="1" applyBorder="1" applyAlignment="1" applyProtection="1">
      <alignment horizontal="center" vertical="center"/>
    </xf>
    <xf numFmtId="165" fontId="11" fillId="0" borderId="83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horizontal="center" vertical="center"/>
    </xf>
    <xf numFmtId="165" fontId="11" fillId="0" borderId="84" xfId="0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  <xf numFmtId="165" fontId="11" fillId="0" borderId="85" xfId="0" applyNumberFormat="1" applyFont="1" applyFill="1" applyBorder="1" applyAlignment="1" applyProtection="1">
      <alignment horizontal="center" vertical="center"/>
    </xf>
    <xf numFmtId="164" fontId="5" fillId="0" borderId="62" xfId="0" applyNumberFormat="1" applyFont="1" applyFill="1" applyBorder="1" applyAlignment="1" applyProtection="1">
      <alignment horizontal="center" vertical="center"/>
    </xf>
    <xf numFmtId="164" fontId="5" fillId="0" borderId="64" xfId="0" applyNumberFormat="1" applyFont="1" applyFill="1" applyBorder="1" applyAlignment="1" applyProtection="1">
      <alignment horizontal="center" vertical="center"/>
    </xf>
    <xf numFmtId="165" fontId="5" fillId="0" borderId="64" xfId="1" applyNumberFormat="1" applyFont="1" applyFill="1" applyBorder="1" applyAlignment="1" applyProtection="1">
      <alignment horizontal="center" vertical="center"/>
    </xf>
    <xf numFmtId="164" fontId="5" fillId="0" borderId="61" xfId="1" applyNumberFormat="1" applyFont="1" applyFill="1" applyBorder="1" applyAlignment="1" applyProtection="1">
      <alignment horizontal="center" vertical="center"/>
    </xf>
    <xf numFmtId="0" fontId="11" fillId="0" borderId="86" xfId="0" applyFont="1" applyFill="1" applyBorder="1" applyAlignment="1" applyProtection="1">
      <alignment horizontal="left" vertical="center" indent="1"/>
    </xf>
    <xf numFmtId="164" fontId="11" fillId="0" borderId="86" xfId="0" applyNumberFormat="1" applyFont="1" applyFill="1" applyBorder="1" applyAlignment="1" applyProtection="1">
      <alignment horizontal="center" vertical="center"/>
    </xf>
    <xf numFmtId="164" fontId="11" fillId="0" borderId="87" xfId="0" applyNumberFormat="1" applyFont="1" applyFill="1" applyBorder="1" applyAlignment="1" applyProtection="1">
      <alignment horizontal="center" vertical="center"/>
    </xf>
    <xf numFmtId="164" fontId="11" fillId="0" borderId="88" xfId="0" applyNumberFormat="1" applyFont="1" applyFill="1" applyBorder="1" applyAlignment="1" applyProtection="1">
      <alignment horizontal="center" vertical="center"/>
    </xf>
    <xf numFmtId="164" fontId="11" fillId="0" borderId="89" xfId="1" applyNumberFormat="1" applyFont="1" applyFill="1" applyBorder="1" applyAlignment="1" applyProtection="1">
      <alignment horizontal="center" vertical="center"/>
    </xf>
    <xf numFmtId="165" fontId="11" fillId="0" borderId="90" xfId="1" applyNumberFormat="1" applyFont="1" applyFill="1" applyBorder="1" applyAlignment="1" applyProtection="1">
      <alignment horizontal="center" vertical="center"/>
    </xf>
    <xf numFmtId="164" fontId="11" fillId="0" borderId="91" xfId="1" applyNumberFormat="1" applyFont="1" applyFill="1" applyBorder="1" applyAlignment="1" applyProtection="1">
      <alignment horizontal="center" vertical="center"/>
    </xf>
    <xf numFmtId="165" fontId="11" fillId="0" borderId="92" xfId="1" applyNumberFormat="1" applyFont="1" applyFill="1" applyBorder="1" applyAlignment="1" applyProtection="1">
      <alignment horizontal="center" vertical="center"/>
    </xf>
    <xf numFmtId="164" fontId="11" fillId="0" borderId="88" xfId="1" applyNumberFormat="1" applyFont="1" applyFill="1" applyBorder="1" applyAlignment="1" applyProtection="1">
      <alignment horizontal="center" vertical="center"/>
    </xf>
    <xf numFmtId="165" fontId="11" fillId="0" borderId="93" xfId="1" applyNumberFormat="1" applyFont="1" applyFill="1" applyBorder="1" applyAlignment="1" applyProtection="1">
      <alignment horizontal="center" vertical="center"/>
    </xf>
    <xf numFmtId="165" fontId="11" fillId="0" borderId="90" xfId="0" applyNumberFormat="1" applyFont="1" applyFill="1" applyBorder="1" applyAlignment="1" applyProtection="1">
      <alignment horizontal="center" vertical="center"/>
    </xf>
    <xf numFmtId="164" fontId="11" fillId="0" borderId="91" xfId="0" applyNumberFormat="1" applyFont="1" applyFill="1" applyBorder="1" applyAlignment="1" applyProtection="1">
      <alignment horizontal="center" vertical="center"/>
    </xf>
    <xf numFmtId="165" fontId="11" fillId="0" borderId="92" xfId="0" applyNumberFormat="1" applyFont="1" applyFill="1" applyBorder="1" applyAlignment="1" applyProtection="1">
      <alignment horizontal="center" vertical="center"/>
    </xf>
    <xf numFmtId="164" fontId="11" fillId="0" borderId="94" xfId="0" applyNumberFormat="1" applyFont="1" applyFill="1" applyBorder="1" applyAlignment="1" applyProtection="1">
      <alignment horizontal="center" vertical="center"/>
    </xf>
    <xf numFmtId="0" fontId="5" fillId="0" borderId="127" xfId="0" applyFont="1" applyFill="1" applyBorder="1" applyAlignment="1" applyProtection="1">
      <alignment horizontal="center" vertical="center"/>
    </xf>
    <xf numFmtId="164" fontId="5" fillId="0" borderId="86" xfId="0" applyNumberFormat="1" applyFont="1" applyFill="1" applyBorder="1" applyAlignment="1" applyProtection="1">
      <alignment horizontal="center" vertical="center"/>
    </xf>
    <xf numFmtId="164" fontId="5" fillId="0" borderId="87" xfId="0" applyNumberFormat="1" applyFont="1" applyFill="1" applyBorder="1" applyAlignment="1" applyProtection="1">
      <alignment horizontal="center" vertical="center"/>
    </xf>
    <xf numFmtId="164" fontId="5" fillId="0" borderId="88" xfId="0" applyNumberFormat="1" applyFont="1" applyFill="1" applyBorder="1" applyAlignment="1" applyProtection="1">
      <alignment horizontal="center" vertical="center"/>
    </xf>
    <xf numFmtId="165" fontId="5" fillId="0" borderId="90" xfId="0" applyNumberFormat="1" applyFont="1" applyFill="1" applyBorder="1" applyAlignment="1" applyProtection="1">
      <alignment horizontal="center" vertical="center"/>
    </xf>
    <xf numFmtId="164" fontId="5" fillId="0" borderId="94" xfId="0" applyNumberFormat="1" applyFont="1" applyFill="1" applyBorder="1" applyAlignment="1" applyProtection="1">
      <alignment horizontal="center" vertical="center"/>
    </xf>
    <xf numFmtId="165" fontId="5" fillId="0" borderId="92" xfId="0" applyNumberFormat="1" applyFont="1" applyFill="1" applyBorder="1" applyAlignment="1" applyProtection="1">
      <alignment horizontal="center" vertical="center"/>
    </xf>
    <xf numFmtId="165" fontId="5" fillId="0" borderId="95" xfId="0" applyNumberFormat="1" applyFont="1" applyFill="1" applyBorder="1" applyAlignment="1" applyProtection="1">
      <alignment horizontal="center" vertical="center"/>
    </xf>
    <xf numFmtId="165" fontId="5" fillId="0" borderId="128" xfId="0" applyNumberFormat="1" applyFont="1" applyFill="1" applyBorder="1" applyAlignment="1" applyProtection="1">
      <alignment horizontal="center" vertical="center"/>
    </xf>
    <xf numFmtId="164" fontId="5" fillId="0" borderId="99" xfId="0" applyNumberFormat="1" applyFont="1" applyFill="1" applyBorder="1" applyAlignment="1" applyProtection="1">
      <alignment horizontal="center" vertical="center"/>
    </xf>
    <xf numFmtId="164" fontId="5" fillId="0" borderId="100" xfId="0" applyNumberFormat="1" applyFont="1" applyFill="1" applyBorder="1" applyAlignment="1" applyProtection="1">
      <alignment horizontal="center" vertical="center"/>
    </xf>
    <xf numFmtId="164" fontId="11" fillId="0" borderId="107" xfId="0" applyNumberFormat="1" applyFont="1" applyFill="1" applyBorder="1" applyAlignment="1" applyProtection="1">
      <alignment horizontal="center" vertical="center"/>
    </xf>
    <xf numFmtId="164" fontId="11" fillId="0" borderId="108" xfId="0" applyNumberFormat="1" applyFont="1" applyFill="1" applyBorder="1" applyAlignment="1" applyProtection="1">
      <alignment horizontal="center" vertical="center"/>
    </xf>
    <xf numFmtId="165" fontId="5" fillId="0" borderId="50" xfId="0" applyNumberFormat="1" applyFont="1" applyFill="1" applyBorder="1" applyAlignment="1" applyProtection="1">
      <alignment horizontal="center" vertical="center"/>
    </xf>
    <xf numFmtId="164" fontId="11" fillId="0" borderId="117" xfId="0" applyNumberFormat="1" applyFont="1" applyFill="1" applyBorder="1" applyAlignment="1" applyProtection="1">
      <alignment horizontal="center" vertical="center"/>
    </xf>
    <xf numFmtId="164" fontId="11" fillId="0" borderId="79" xfId="0" applyNumberFormat="1" applyFont="1" applyFill="1" applyBorder="1" applyAlignment="1" applyProtection="1">
      <alignment horizontal="center" vertical="center"/>
    </xf>
    <xf numFmtId="164" fontId="11" fillId="0" borderId="26" xfId="0" applyNumberFormat="1" applyFont="1" applyFill="1" applyBorder="1" applyAlignment="1" applyProtection="1">
      <alignment horizontal="right" vertical="center"/>
    </xf>
    <xf numFmtId="164" fontId="11" fillId="0" borderId="101" xfId="0" applyNumberFormat="1" applyFont="1" applyFill="1" applyBorder="1" applyAlignment="1" applyProtection="1">
      <alignment horizontal="right" vertical="center"/>
    </xf>
    <xf numFmtId="164" fontId="5" fillId="0" borderId="104" xfId="0" applyNumberFormat="1" applyFont="1" applyFill="1" applyBorder="1" applyAlignment="1" applyProtection="1">
      <alignment horizontal="center" vertical="center"/>
    </xf>
    <xf numFmtId="164" fontId="5" fillId="0" borderId="106" xfId="0" applyNumberFormat="1" applyFont="1" applyFill="1" applyBorder="1" applyAlignment="1" applyProtection="1">
      <alignment horizontal="center" vertical="center"/>
    </xf>
    <xf numFmtId="164" fontId="11" fillId="0" borderId="109" xfId="0" applyNumberFormat="1" applyFont="1" applyFill="1" applyBorder="1" applyAlignment="1" applyProtection="1">
      <alignment horizontal="center" vertical="center"/>
    </xf>
    <xf numFmtId="164" fontId="11" fillId="0" borderId="110" xfId="0" applyNumberFormat="1" applyFont="1" applyFill="1" applyBorder="1" applyAlignment="1" applyProtection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164" fontId="5" fillId="0" borderId="112" xfId="0" applyNumberFormat="1" applyFont="1" applyFill="1" applyBorder="1" applyAlignment="1" applyProtection="1">
      <alignment horizontal="center" vertical="center"/>
    </xf>
    <xf numFmtId="164" fontId="11" fillId="0" borderId="102" xfId="0" applyNumberFormat="1" applyFont="1" applyFill="1" applyBorder="1" applyAlignment="1" applyProtection="1">
      <alignment horizontal="center" vertical="center"/>
    </xf>
    <xf numFmtId="164" fontId="11" fillId="0" borderId="103" xfId="0" applyNumberFormat="1" applyFont="1" applyFill="1" applyBorder="1" applyAlignment="1" applyProtection="1">
      <alignment horizontal="center" vertical="center"/>
    </xf>
    <xf numFmtId="164" fontId="11" fillId="0" borderId="26" xfId="0" applyNumberFormat="1" applyFont="1" applyFill="1" applyBorder="1" applyAlignment="1" applyProtection="1">
      <alignment horizontal="center" vertical="center"/>
    </xf>
    <xf numFmtId="164" fontId="11" fillId="0" borderId="101" xfId="0" applyNumberFormat="1" applyFont="1" applyFill="1" applyBorder="1" applyAlignment="1" applyProtection="1">
      <alignment horizontal="center" vertical="center"/>
    </xf>
    <xf numFmtId="3" fontId="5" fillId="0" borderId="99" xfId="0" applyNumberFormat="1" applyFont="1" applyFill="1" applyBorder="1" applyAlignment="1" applyProtection="1">
      <alignment horizontal="center" vertical="center"/>
    </xf>
    <xf numFmtId="3" fontId="5" fillId="0" borderId="100" xfId="0" applyNumberFormat="1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5" fillId="0" borderId="101" xfId="0" applyNumberFormat="1" applyFont="1" applyFill="1" applyBorder="1" applyAlignment="1" applyProtection="1">
      <alignment horizontal="center" vertical="center"/>
    </xf>
    <xf numFmtId="165" fontId="11" fillId="0" borderId="120" xfId="0" applyNumberFormat="1" applyFont="1" applyFill="1" applyBorder="1" applyAlignment="1" applyProtection="1">
      <alignment horizontal="left" vertical="center"/>
    </xf>
    <xf numFmtId="164" fontId="11" fillId="0" borderId="113" xfId="0" applyNumberFormat="1" applyFont="1" applyFill="1" applyBorder="1" applyAlignment="1" applyProtection="1">
      <alignment horizontal="center" vertical="center"/>
    </xf>
    <xf numFmtId="164" fontId="11" fillId="0" borderId="114" xfId="0" applyNumberFormat="1" applyFont="1" applyFill="1" applyBorder="1" applyAlignment="1" applyProtection="1">
      <alignment horizontal="center" vertical="center"/>
    </xf>
    <xf numFmtId="164" fontId="11" fillId="0" borderId="94" xfId="1" applyNumberFormat="1" applyFont="1" applyFill="1" applyBorder="1" applyAlignment="1" applyProtection="1">
      <alignment horizontal="center" vertical="center"/>
    </xf>
    <xf numFmtId="164" fontId="11" fillId="0" borderId="89" xfId="0" applyNumberFormat="1" applyFont="1" applyFill="1" applyBorder="1" applyAlignment="1" applyProtection="1">
      <alignment horizontal="center" vertical="center"/>
    </xf>
    <xf numFmtId="164" fontId="11" fillId="0" borderId="115" xfId="0" applyNumberFormat="1" applyFont="1" applyFill="1" applyBorder="1" applyAlignment="1" applyProtection="1">
      <alignment horizontal="center" vertical="center"/>
    </xf>
    <xf numFmtId="164" fontId="11" fillId="0" borderId="116" xfId="0" applyNumberFormat="1" applyFont="1" applyFill="1" applyBorder="1" applyAlignment="1" applyProtection="1">
      <alignment horizontal="center" vertical="center"/>
    </xf>
    <xf numFmtId="0" fontId="5" fillId="0" borderId="98" xfId="0" applyFont="1" applyFill="1" applyBorder="1" applyAlignment="1" applyProtection="1">
      <alignment horizontal="center" vertical="center"/>
    </xf>
    <xf numFmtId="164" fontId="5" fillId="0" borderId="115" xfId="0" applyNumberFormat="1" applyFont="1" applyFill="1" applyBorder="1" applyAlignment="1" applyProtection="1">
      <alignment horizontal="center" vertical="center"/>
    </xf>
    <xf numFmtId="164" fontId="5" fillId="0" borderId="116" xfId="0" applyNumberFormat="1" applyFont="1" applyFill="1" applyBorder="1" applyAlignment="1" applyProtection="1">
      <alignment horizontal="center" vertical="center"/>
    </xf>
    <xf numFmtId="164" fontId="5" fillId="0" borderId="119" xfId="0" applyNumberFormat="1" applyFont="1" applyFill="1" applyBorder="1" applyAlignment="1" applyProtection="1">
      <alignment horizontal="center" vertical="center"/>
    </xf>
    <xf numFmtId="165" fontId="5" fillId="0" borderId="120" xfId="0" applyNumberFormat="1" applyFont="1" applyFill="1" applyBorder="1" applyAlignment="1" applyProtection="1">
      <alignment horizontal="center" vertical="center"/>
    </xf>
    <xf numFmtId="164" fontId="5" fillId="0" borderId="134" xfId="0" applyNumberFormat="1" applyFont="1" applyFill="1" applyBorder="1" applyAlignment="1" applyProtection="1">
      <alignment horizontal="center" vertical="center"/>
    </xf>
    <xf numFmtId="164" fontId="11" fillId="0" borderId="135" xfId="0" applyNumberFormat="1" applyFont="1" applyFill="1" applyBorder="1" applyAlignment="1" applyProtection="1">
      <alignment horizontal="center" vertical="center"/>
    </xf>
    <xf numFmtId="165" fontId="11" fillId="0" borderId="39" xfId="0" applyNumberFormat="1" applyFont="1" applyFill="1" applyBorder="1" applyAlignment="1" applyProtection="1">
      <alignment horizontal="center" vertical="top"/>
    </xf>
    <xf numFmtId="164" fontId="11" fillId="0" borderId="34" xfId="0" applyNumberFormat="1" applyFont="1" applyFill="1" applyBorder="1" applyAlignment="1" applyProtection="1">
      <alignment horizontal="center" vertical="top" shrinkToFit="1"/>
    </xf>
    <xf numFmtId="164" fontId="11" fillId="0" borderId="35" xfId="0" applyNumberFormat="1" applyFont="1" applyFill="1" applyBorder="1" applyAlignment="1" applyProtection="1">
      <alignment horizontal="center" vertical="top" shrinkToFit="1"/>
    </xf>
    <xf numFmtId="164" fontId="11" fillId="0" borderId="136" xfId="0" applyNumberFormat="1" applyFont="1" applyFill="1" applyBorder="1" applyAlignment="1" applyProtection="1">
      <alignment horizontal="center" vertical="top" shrinkToFit="1"/>
    </xf>
    <xf numFmtId="164" fontId="11" fillId="0" borderId="36" xfId="0" applyNumberFormat="1" applyFont="1" applyFill="1" applyBorder="1" applyAlignment="1" applyProtection="1">
      <alignment horizontal="center" vertical="top"/>
    </xf>
    <xf numFmtId="165" fontId="11" fillId="0" borderId="37" xfId="0" applyNumberFormat="1" applyFont="1" applyFill="1" applyBorder="1" applyAlignment="1" applyProtection="1">
      <alignment horizontal="center" vertical="top"/>
    </xf>
    <xf numFmtId="164" fontId="11" fillId="0" borderId="38" xfId="0" applyNumberFormat="1" applyFont="1" applyFill="1" applyBorder="1" applyAlignment="1" applyProtection="1">
      <alignment horizontal="center" vertical="top"/>
    </xf>
    <xf numFmtId="165" fontId="11" fillId="0" borderId="40" xfId="0" applyNumberFormat="1" applyFont="1" applyFill="1" applyBorder="1" applyAlignment="1" applyProtection="1">
      <alignment horizontal="center" vertical="top"/>
    </xf>
    <xf numFmtId="164" fontId="11" fillId="0" borderId="34" xfId="0" applyNumberFormat="1" applyFont="1" applyFill="1" applyBorder="1" applyAlignment="1" applyProtection="1">
      <alignment horizontal="center" vertical="top"/>
    </xf>
    <xf numFmtId="164" fontId="11" fillId="0" borderId="136" xfId="0" applyNumberFormat="1" applyFont="1" applyFill="1" applyBorder="1" applyAlignment="1" applyProtection="1">
      <alignment horizontal="right" vertical="center" shrinkToFit="1"/>
    </xf>
    <xf numFmtId="0" fontId="11" fillId="0" borderId="73" xfId="0" applyFont="1" applyFill="1" applyBorder="1" applyAlignment="1" applyProtection="1">
      <alignment horizontal="left" vertical="center" indent="1"/>
    </xf>
    <xf numFmtId="164" fontId="11" fillId="0" borderId="118" xfId="0" applyNumberFormat="1" applyFont="1" applyFill="1" applyBorder="1" applyAlignment="1" applyProtection="1">
      <alignment horizontal="right" vertical="center"/>
    </xf>
    <xf numFmtId="164" fontId="11" fillId="0" borderId="137" xfId="0" applyNumberFormat="1" applyFont="1" applyFill="1" applyBorder="1" applyAlignment="1" applyProtection="1">
      <alignment horizontal="right" vertical="center"/>
    </xf>
    <xf numFmtId="164" fontId="11" fillId="0" borderId="73" xfId="1" applyNumberFormat="1" applyFont="1" applyFill="1" applyBorder="1" applyAlignment="1" applyProtection="1">
      <alignment horizontal="right" vertical="center"/>
    </xf>
    <xf numFmtId="165" fontId="11" fillId="0" borderId="76" xfId="1" applyNumberFormat="1" applyFont="1" applyFill="1" applyBorder="1" applyAlignment="1" applyProtection="1">
      <alignment horizontal="right" vertical="center"/>
    </xf>
    <xf numFmtId="164" fontId="11" fillId="0" borderId="75" xfId="1" applyNumberFormat="1" applyFont="1" applyFill="1" applyBorder="1" applyAlignment="1" applyProtection="1">
      <alignment horizontal="right" vertical="center"/>
    </xf>
    <xf numFmtId="165" fontId="11" fillId="0" borderId="78" xfId="0" applyNumberFormat="1" applyFont="1" applyFill="1" applyBorder="1" applyAlignment="1" applyProtection="1">
      <alignment horizontal="right" vertical="center" indent="1"/>
    </xf>
    <xf numFmtId="164" fontId="11" fillId="0" borderId="136" xfId="0" applyNumberFormat="1" applyFont="1" applyFill="1" applyBorder="1" applyAlignment="1" applyProtection="1">
      <alignment horizontal="right" vertical="center"/>
    </xf>
    <xf numFmtId="0" fontId="11" fillId="0" borderId="34" xfId="0" applyFont="1" applyFill="1" applyBorder="1" applyAlignment="1" applyProtection="1">
      <alignment horizontal="left" vertical="center" indent="1" shrinkToFit="1"/>
    </xf>
    <xf numFmtId="164" fontId="11" fillId="0" borderId="9" xfId="0" applyNumberFormat="1" applyFont="1" applyFill="1" applyBorder="1" applyAlignment="1" applyProtection="1">
      <alignment horizontal="right" vertical="center"/>
    </xf>
    <xf numFmtId="164" fontId="11" fillId="0" borderId="138" xfId="0" applyNumberFormat="1" applyFont="1" applyFill="1" applyBorder="1" applyAlignment="1" applyProtection="1">
      <alignment horizontal="center" vertical="center"/>
    </xf>
    <xf numFmtId="164" fontId="5" fillId="0" borderId="133" xfId="0" applyNumberFormat="1" applyFont="1" applyFill="1" applyBorder="1" applyAlignment="1" applyProtection="1">
      <alignment horizontal="center" vertical="center"/>
    </xf>
    <xf numFmtId="164" fontId="11" fillId="0" borderId="136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3" fontId="11" fillId="0" borderId="48" xfId="0" applyNumberFormat="1" applyFont="1" applyFill="1" applyBorder="1" applyAlignment="1" applyProtection="1">
      <alignment horizontal="center" vertical="center"/>
    </xf>
    <xf numFmtId="3" fontId="11" fillId="0" borderId="108" xfId="0" applyNumberFormat="1" applyFont="1" applyFill="1" applyBorder="1" applyAlignment="1" applyProtection="1">
      <alignment horizontal="center" vertical="center"/>
    </xf>
    <xf numFmtId="165" fontId="5" fillId="0" borderId="78" xfId="0" applyNumberFormat="1" applyFont="1" applyFill="1" applyBorder="1" applyAlignment="1" applyProtection="1">
      <alignment horizontal="center" vertical="center"/>
    </xf>
    <xf numFmtId="165" fontId="5" fillId="0" borderId="40" xfId="0" applyNumberFormat="1" applyFont="1" applyFill="1" applyBorder="1" applyAlignment="1" applyProtection="1">
      <alignment horizontal="center" vertical="center"/>
    </xf>
    <xf numFmtId="165" fontId="5" fillId="0" borderId="59" xfId="0" applyNumberFormat="1" applyFont="1" applyFill="1" applyBorder="1" applyAlignment="1" applyProtection="1">
      <alignment horizontal="center" vertical="center"/>
    </xf>
    <xf numFmtId="0" fontId="11" fillId="0" borderId="97" xfId="2" applyFont="1" applyBorder="1" applyAlignment="1">
      <alignment horizontal="left" vertical="center" indent="1"/>
    </xf>
    <xf numFmtId="164" fontId="5" fillId="0" borderId="132" xfId="0" applyNumberFormat="1" applyFont="1" applyFill="1" applyBorder="1" applyAlignment="1" applyProtection="1">
      <alignment horizontal="center" vertical="center"/>
    </xf>
    <xf numFmtId="164" fontId="11" fillId="0" borderId="97" xfId="1" applyNumberFormat="1" applyFont="1" applyFill="1" applyBorder="1" applyAlignment="1" applyProtection="1">
      <alignment horizontal="center" vertical="center"/>
    </xf>
    <xf numFmtId="164" fontId="11" fillId="0" borderId="119" xfId="1" applyNumberFormat="1" applyFont="1" applyFill="1" applyBorder="1" applyAlignment="1" applyProtection="1">
      <alignment horizontal="center" vertical="center"/>
    </xf>
    <xf numFmtId="164" fontId="11" fillId="0" borderId="97" xfId="0" applyNumberFormat="1" applyFont="1" applyFill="1" applyBorder="1" applyAlignment="1" applyProtection="1">
      <alignment horizontal="center" vertical="center"/>
    </xf>
    <xf numFmtId="165" fontId="11" fillId="0" borderId="93" xfId="0" applyNumberFormat="1" applyFont="1" applyFill="1" applyBorder="1" applyAlignment="1" applyProtection="1">
      <alignment horizontal="center" vertical="center"/>
    </xf>
    <xf numFmtId="164" fontId="11" fillId="0" borderId="119" xfId="0" applyNumberFormat="1" applyFont="1" applyFill="1" applyBorder="1" applyAlignment="1" applyProtection="1">
      <alignment horizontal="center" vertical="center"/>
    </xf>
    <xf numFmtId="165" fontId="11" fillId="0" borderId="95" xfId="0" applyNumberFormat="1" applyFont="1" applyFill="1" applyBorder="1" applyAlignment="1" applyProtection="1">
      <alignment horizontal="center" vertical="center"/>
    </xf>
    <xf numFmtId="165" fontId="11" fillId="0" borderId="120" xfId="0" applyNumberFormat="1" applyFont="1" applyFill="1" applyBorder="1" applyAlignment="1" applyProtection="1">
      <alignment horizontal="center" vertical="center"/>
    </xf>
    <xf numFmtId="165" fontId="5" fillId="0" borderId="40" xfId="0" applyNumberFormat="1" applyFont="1" applyFill="1" applyBorder="1" applyAlignment="1" applyProtection="1">
      <alignment horizontal="left" vertical="center"/>
    </xf>
    <xf numFmtId="165" fontId="5" fillId="0" borderId="120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5" fontId="5" fillId="0" borderId="18" xfId="0" applyNumberFormat="1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left" vertical="center" indent="1"/>
    </xf>
    <xf numFmtId="164" fontId="11" fillId="0" borderId="139" xfId="0" applyNumberFormat="1" applyFont="1" applyFill="1" applyBorder="1" applyAlignment="1" applyProtection="1">
      <alignment horizontal="center" vertical="center"/>
    </xf>
    <xf numFmtId="165" fontId="11" fillId="0" borderId="40" xfId="0" applyNumberFormat="1" applyFont="1" applyFill="1" applyBorder="1" applyAlignment="1" applyProtection="1">
      <alignment horizontal="right" vertical="center" indent="1" shrinkToFit="1"/>
    </xf>
    <xf numFmtId="164" fontId="11" fillId="0" borderId="54" xfId="0" applyNumberFormat="1" applyFont="1" applyFill="1" applyBorder="1" applyAlignment="1" applyProtection="1">
      <alignment horizontal="right" vertical="center"/>
    </xf>
    <xf numFmtId="164" fontId="11" fillId="0" borderId="138" xfId="0" applyNumberFormat="1" applyFont="1" applyFill="1" applyBorder="1" applyAlignment="1" applyProtection="1">
      <alignment horizontal="right" vertical="center"/>
    </xf>
    <xf numFmtId="164" fontId="11" fillId="0" borderId="33" xfId="1" applyNumberFormat="1" applyFont="1" applyFill="1" applyBorder="1" applyAlignment="1" applyProtection="1">
      <alignment horizontal="right" vertical="center"/>
    </xf>
    <xf numFmtId="165" fontId="11" fillId="0" borderId="58" xfId="1" applyNumberFormat="1" applyFont="1" applyFill="1" applyBorder="1" applyAlignment="1" applyProtection="1">
      <alignment horizontal="right" vertical="center"/>
    </xf>
    <xf numFmtId="164" fontId="11" fillId="0" borderId="57" xfId="1" applyNumberFormat="1" applyFont="1" applyFill="1" applyBorder="1" applyAlignment="1" applyProtection="1">
      <alignment horizontal="right" vertical="center"/>
    </xf>
    <xf numFmtId="165" fontId="11" fillId="0" borderId="59" xfId="0" applyNumberFormat="1" applyFont="1" applyFill="1" applyBorder="1" applyAlignment="1" applyProtection="1">
      <alignment horizontal="right" vertical="center" indent="1"/>
    </xf>
    <xf numFmtId="164" fontId="11" fillId="0" borderId="140" xfId="0" applyNumberFormat="1" applyFont="1" applyFill="1" applyBorder="1" applyAlignment="1" applyProtection="1">
      <alignment horizontal="center" vertical="center"/>
    </xf>
    <xf numFmtId="164" fontId="5" fillId="0" borderId="60" xfId="0" applyNumberFormat="1" applyFont="1" applyFill="1" applyBorder="1" applyAlignment="1" applyProtection="1">
      <alignment horizontal="left" vertical="center"/>
    </xf>
    <xf numFmtId="165" fontId="5" fillId="0" borderId="64" xfId="0" applyNumberFormat="1" applyFont="1" applyFill="1" applyBorder="1" applyAlignment="1" applyProtection="1">
      <alignment horizontal="left" vertical="center"/>
    </xf>
    <xf numFmtId="164" fontId="5" fillId="0" borderId="65" xfId="0" applyNumberFormat="1" applyFont="1" applyFill="1" applyBorder="1" applyAlignment="1" applyProtection="1">
      <alignment horizontal="left" vertical="center"/>
    </xf>
    <xf numFmtId="165" fontId="5" fillId="0" borderId="66" xfId="0" applyNumberFormat="1" applyFont="1" applyFill="1" applyBorder="1" applyAlignment="1" applyProtection="1">
      <alignment horizontal="left" vertical="center"/>
    </xf>
    <xf numFmtId="164" fontId="11" fillId="0" borderId="86" xfId="0" applyNumberFormat="1" applyFont="1" applyFill="1" applyBorder="1" applyAlignment="1" applyProtection="1">
      <alignment horizontal="left" vertical="center" indent="1"/>
    </xf>
    <xf numFmtId="165" fontId="11" fillId="0" borderId="92" xfId="0" applyNumberFormat="1" applyFont="1" applyFill="1" applyBorder="1" applyAlignment="1" applyProtection="1">
      <alignment horizontal="left" vertical="center" indent="1"/>
    </xf>
    <xf numFmtId="164" fontId="11" fillId="0" borderId="94" xfId="0" applyNumberFormat="1" applyFont="1" applyFill="1" applyBorder="1" applyAlignment="1" applyProtection="1">
      <alignment horizontal="left" vertical="center" indent="1"/>
    </xf>
    <xf numFmtId="165" fontId="11" fillId="0" borderId="85" xfId="0" applyNumberFormat="1" applyFont="1" applyFill="1" applyBorder="1" applyAlignment="1" applyProtection="1">
      <alignment horizontal="left" vertical="center"/>
    </xf>
    <xf numFmtId="165" fontId="11" fillId="0" borderId="85" xfId="0" applyNumberFormat="1" applyFont="1" applyFill="1" applyBorder="1" applyAlignment="1" applyProtection="1">
      <alignment horizontal="left" vertical="center" indent="1"/>
    </xf>
    <xf numFmtId="3" fontId="5" fillId="0" borderId="97" xfId="0" applyNumberFormat="1" applyFont="1" applyFill="1" applyBorder="1" applyAlignment="1" applyProtection="1">
      <alignment horizontal="center" vertical="center"/>
    </xf>
    <xf numFmtId="3" fontId="5" fillId="0" borderId="125" xfId="0" applyNumberFormat="1" applyFont="1" applyFill="1" applyBorder="1" applyAlignment="1" applyProtection="1">
      <alignment horizontal="center" vertical="center"/>
    </xf>
    <xf numFmtId="3" fontId="5" fillId="0" borderId="132" xfId="0" applyNumberFormat="1" applyFont="1" applyFill="1" applyBorder="1" applyAlignment="1" applyProtection="1">
      <alignment horizontal="center" vertical="center"/>
    </xf>
    <xf numFmtId="4" fontId="5" fillId="0" borderId="95" xfId="0" applyNumberFormat="1" applyFont="1" applyFill="1" applyBorder="1" applyAlignment="1" applyProtection="1">
      <alignment horizontal="center" vertical="center"/>
    </xf>
    <xf numFmtId="3" fontId="5" fillId="0" borderId="119" xfId="0" applyNumberFormat="1" applyFont="1" applyFill="1" applyBorder="1" applyAlignment="1" applyProtection="1">
      <alignment horizontal="center" vertical="center"/>
    </xf>
    <xf numFmtId="2" fontId="5" fillId="0" borderId="93" xfId="0" applyNumberFormat="1" applyFont="1" applyFill="1" applyBorder="1" applyAlignment="1" applyProtection="1">
      <alignment horizontal="center" vertical="center"/>
    </xf>
    <xf numFmtId="3" fontId="5" fillId="0" borderId="141" xfId="0" applyNumberFormat="1" applyFont="1" applyFill="1" applyBorder="1" applyAlignment="1" applyProtection="1">
      <alignment horizontal="center" vertical="center"/>
    </xf>
    <xf numFmtId="2" fontId="5" fillId="0" borderId="95" xfId="0" applyNumberFormat="1" applyFont="1" applyFill="1" applyBorder="1" applyAlignment="1" applyProtection="1">
      <alignment horizontal="center" vertical="center"/>
    </xf>
    <xf numFmtId="3" fontId="5" fillId="0" borderId="126" xfId="0" applyNumberFormat="1" applyFont="1" applyFill="1" applyBorder="1" applyAlignment="1" applyProtection="1">
      <alignment horizontal="center" vertical="center"/>
    </xf>
    <xf numFmtId="3" fontId="5" fillId="0" borderId="142" xfId="0" applyNumberFormat="1" applyFont="1" applyFill="1" applyBorder="1" applyAlignment="1" applyProtection="1">
      <alignment horizontal="center" vertical="center"/>
    </xf>
    <xf numFmtId="2" fontId="5" fillId="0" borderId="120" xfId="0" applyNumberFormat="1" applyFont="1" applyFill="1" applyBorder="1" applyAlignment="1" applyProtection="1">
      <alignment horizontal="center" vertical="center"/>
    </xf>
    <xf numFmtId="0" fontId="5" fillId="0" borderId="143" xfId="0" applyFont="1" applyFill="1" applyBorder="1" applyAlignment="1" applyProtection="1">
      <alignment horizontal="left" vertical="center"/>
    </xf>
    <xf numFmtId="3" fontId="5" fillId="0" borderId="60" xfId="0" applyNumberFormat="1" applyFont="1" applyFill="1" applyBorder="1" applyAlignment="1" applyProtection="1">
      <alignment horizontal="center" vertical="center"/>
    </xf>
    <xf numFmtId="3" fontId="5" fillId="0" borderId="111" xfId="0" applyNumberFormat="1" applyFont="1" applyFill="1" applyBorder="1" applyAlignment="1" applyProtection="1">
      <alignment horizontal="center" vertical="center"/>
    </xf>
    <xf numFmtId="3" fontId="5" fillId="0" borderId="61" xfId="0" applyNumberFormat="1" applyFont="1" applyFill="1" applyBorder="1" applyAlignment="1" applyProtection="1">
      <alignment horizontal="center" vertical="center"/>
    </xf>
    <xf numFmtId="166" fontId="23" fillId="0" borderId="64" xfId="0" applyNumberFormat="1" applyFont="1" applyFill="1" applyBorder="1" applyAlignment="1" applyProtection="1">
      <alignment horizontal="center" vertical="center"/>
    </xf>
    <xf numFmtId="166" fontId="23" fillId="0" borderId="62" xfId="0" applyNumberFormat="1" applyFont="1" applyFill="1" applyBorder="1" applyAlignment="1" applyProtection="1">
      <alignment horizontal="center" vertical="center"/>
    </xf>
    <xf numFmtId="3" fontId="11" fillId="0" borderId="7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164" fontId="24" fillId="0" borderId="7" xfId="1" applyNumberFormat="1" applyFont="1" applyFill="1" applyBorder="1" applyAlignment="1" applyProtection="1">
      <alignment horizontal="center" vertical="center" shrinkToFit="1"/>
    </xf>
    <xf numFmtId="166" fontId="24" fillId="0" borderId="16" xfId="1" applyNumberFormat="1" applyFont="1" applyFill="1" applyBorder="1" applyAlignment="1" applyProtection="1">
      <alignment horizontal="center" vertical="center"/>
    </xf>
    <xf numFmtId="164" fontId="24" fillId="0" borderId="17" xfId="1" applyNumberFormat="1" applyFont="1" applyFill="1" applyBorder="1" applyAlignment="1" applyProtection="1">
      <alignment horizontal="center" vertical="center"/>
    </xf>
    <xf numFmtId="166" fontId="24" fillId="0" borderId="18" xfId="1" applyNumberFormat="1" applyFont="1" applyFill="1" applyBorder="1" applyAlignment="1" applyProtection="1">
      <alignment horizontal="center" vertical="center"/>
    </xf>
    <xf numFmtId="166" fontId="5" fillId="0" borderId="21" xfId="0" applyNumberFormat="1" applyFont="1" applyFill="1" applyBorder="1" applyAlignment="1" applyProtection="1">
      <alignment horizontal="center" vertical="center"/>
    </xf>
    <xf numFmtId="164" fontId="24" fillId="0" borderId="0" xfId="1" applyNumberFormat="1" applyFont="1" applyFill="1" applyBorder="1" applyAlignment="1" applyProtection="1">
      <alignment horizontal="center" vertical="center"/>
    </xf>
    <xf numFmtId="166" fontId="24" fillId="0" borderId="21" xfId="1" applyNumberFormat="1" applyFont="1" applyFill="1" applyBorder="1" applyAlignment="1" applyProtection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top" shrinkToFit="1"/>
    </xf>
    <xf numFmtId="3" fontId="11" fillId="0" borderId="35" xfId="0" applyNumberFormat="1" applyFont="1" applyFill="1" applyBorder="1" applyAlignment="1" applyProtection="1">
      <alignment horizontal="center" vertical="top" shrinkToFit="1"/>
    </xf>
    <xf numFmtId="3" fontId="11" fillId="0" borderId="136" xfId="0" applyNumberFormat="1" applyFont="1" applyFill="1" applyBorder="1" applyAlignment="1" applyProtection="1">
      <alignment horizontal="center" vertical="top" shrinkToFit="1"/>
    </xf>
    <xf numFmtId="164" fontId="24" fillId="0" borderId="36" xfId="0" applyNumberFormat="1" applyFont="1" applyFill="1" applyBorder="1" applyAlignment="1" applyProtection="1">
      <alignment horizontal="center" vertical="top"/>
    </xf>
    <xf numFmtId="166" fontId="24" fillId="0" borderId="37" xfId="0" applyNumberFormat="1" applyFont="1" applyFill="1" applyBorder="1" applyAlignment="1" applyProtection="1">
      <alignment horizontal="center" vertical="top"/>
    </xf>
    <xf numFmtId="164" fontId="24" fillId="0" borderId="38" xfId="0" applyNumberFormat="1" applyFont="1" applyFill="1" applyBorder="1" applyAlignment="1" applyProtection="1">
      <alignment horizontal="center" vertical="top"/>
    </xf>
    <xf numFmtId="166" fontId="24" fillId="0" borderId="39" xfId="0" applyNumberFormat="1" applyFont="1" applyFill="1" applyBorder="1" applyAlignment="1" applyProtection="1">
      <alignment horizontal="center" vertical="top"/>
    </xf>
    <xf numFmtId="166" fontId="24" fillId="0" borderId="40" xfId="0" applyNumberFormat="1" applyFont="1" applyFill="1" applyBorder="1" applyAlignment="1" applyProtection="1">
      <alignment horizontal="center" vertical="top"/>
    </xf>
    <xf numFmtId="166" fontId="11" fillId="0" borderId="39" xfId="0" applyNumberFormat="1" applyFont="1" applyFill="1" applyBorder="1" applyAlignment="1" applyProtection="1">
      <alignment horizontal="center" vertical="top"/>
    </xf>
    <xf numFmtId="166" fontId="11" fillId="0" borderId="37" xfId="0" applyNumberFormat="1" applyFont="1" applyFill="1" applyBorder="1" applyAlignment="1" applyProtection="1">
      <alignment horizontal="center" vertical="top"/>
    </xf>
    <xf numFmtId="166" fontId="11" fillId="0" borderId="40" xfId="0" applyNumberFormat="1" applyFont="1" applyFill="1" applyBorder="1" applyAlignment="1" applyProtection="1">
      <alignment horizontal="center" vertical="top"/>
    </xf>
    <xf numFmtId="3" fontId="11" fillId="0" borderId="33" xfId="0" applyNumberFormat="1" applyFont="1" applyFill="1" applyBorder="1" applyAlignment="1" applyProtection="1">
      <alignment horizontal="right" vertical="center" shrinkToFit="1"/>
    </xf>
    <xf numFmtId="3" fontId="11" fillId="0" borderId="55" xfId="0" applyNumberFormat="1" applyFont="1" applyFill="1" applyBorder="1" applyAlignment="1" applyProtection="1">
      <alignment horizontal="right" vertical="center" shrinkToFit="1"/>
    </xf>
    <xf numFmtId="164" fontId="24" fillId="0" borderId="34" xfId="1" applyNumberFormat="1" applyFont="1" applyFill="1" applyBorder="1" applyAlignment="1" applyProtection="1">
      <alignment horizontal="right" vertical="center"/>
    </xf>
    <xf numFmtId="166" fontId="24" fillId="0" borderId="39" xfId="1" applyNumberFormat="1" applyFont="1" applyFill="1" applyBorder="1" applyAlignment="1" applyProtection="1">
      <alignment horizontal="right" vertical="center"/>
    </xf>
    <xf numFmtId="164" fontId="24" fillId="0" borderId="38" xfId="1" applyNumberFormat="1" applyFont="1" applyFill="1" applyBorder="1" applyAlignment="1" applyProtection="1">
      <alignment horizontal="right" vertical="center"/>
    </xf>
    <xf numFmtId="3" fontId="11" fillId="0" borderId="34" xfId="0" applyNumberFormat="1" applyFont="1" applyFill="1" applyBorder="1" applyAlignment="1" applyProtection="1">
      <alignment horizontal="right" vertical="center"/>
    </xf>
    <xf numFmtId="3" fontId="11" fillId="0" borderId="35" xfId="0" applyNumberFormat="1" applyFont="1" applyFill="1" applyBorder="1" applyAlignment="1" applyProtection="1">
      <alignment horizontal="right" vertical="center"/>
    </xf>
    <xf numFmtId="3" fontId="11" fillId="0" borderId="36" xfId="0" applyNumberFormat="1" applyFont="1" applyFill="1" applyBorder="1" applyAlignment="1" applyProtection="1">
      <alignment horizontal="right" vertical="center"/>
    </xf>
    <xf numFmtId="166" fontId="24" fillId="0" borderId="40" xfId="1" applyNumberFormat="1" applyFont="1" applyFill="1" applyBorder="1" applyAlignment="1" applyProtection="1">
      <alignment horizontal="right" vertical="center"/>
    </xf>
    <xf numFmtId="166" fontId="24" fillId="0" borderId="37" xfId="1" applyNumberFormat="1" applyFont="1" applyFill="1" applyBorder="1" applyAlignment="1" applyProtection="1">
      <alignment horizontal="right" vertical="center"/>
    </xf>
    <xf numFmtId="3" fontId="11" fillId="0" borderId="7" xfId="0" applyNumberFormat="1" applyFont="1" applyFill="1" applyBorder="1" applyAlignment="1" applyProtection="1">
      <alignment horizontal="right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164" fontId="24" fillId="0" borderId="7" xfId="1" applyNumberFormat="1" applyFont="1" applyFill="1" applyBorder="1" applyAlignment="1" applyProtection="1">
      <alignment horizontal="right" vertical="center"/>
    </xf>
    <xf numFmtId="166" fontId="24" fillId="0" borderId="18" xfId="1" applyNumberFormat="1" applyFont="1" applyFill="1" applyBorder="1" applyAlignment="1" applyProtection="1">
      <alignment horizontal="right" vertical="center"/>
    </xf>
    <xf numFmtId="164" fontId="24" fillId="0" borderId="17" xfId="1" applyNumberFormat="1" applyFont="1" applyFill="1" applyBorder="1" applyAlignment="1" applyProtection="1">
      <alignment horizontal="right" vertical="center"/>
    </xf>
    <xf numFmtId="166" fontId="24" fillId="0" borderId="21" xfId="1" applyNumberFormat="1" applyFont="1" applyFill="1" applyBorder="1" applyAlignment="1" applyProtection="1">
      <alignment horizontal="right" vertical="center"/>
    </xf>
    <xf numFmtId="166" fontId="24" fillId="0" borderId="16" xfId="1" applyNumberFormat="1" applyFont="1" applyFill="1" applyBorder="1" applyAlignment="1" applyProtection="1">
      <alignment horizontal="right" vertical="center"/>
    </xf>
    <xf numFmtId="0" fontId="5" fillId="0" borderId="144" xfId="0" applyFont="1" applyFill="1" applyBorder="1" applyAlignment="1" applyProtection="1">
      <alignment horizontal="left" vertical="center"/>
    </xf>
    <xf numFmtId="3" fontId="5" fillId="0" borderId="105" xfId="0" applyNumberFormat="1" applyFont="1" applyFill="1" applyBorder="1" applyAlignment="1" applyProtection="1">
      <alignment horizontal="center" vertical="center"/>
    </xf>
    <xf numFmtId="3" fontId="5" fillId="0" borderId="44" xfId="0" applyNumberFormat="1" applyFont="1" applyFill="1" applyBorder="1" applyAlignment="1" applyProtection="1">
      <alignment horizontal="center" vertical="center"/>
    </xf>
    <xf numFmtId="164" fontId="23" fillId="0" borderId="43" xfId="0" applyNumberFormat="1" applyFont="1" applyFill="1" applyBorder="1" applyAlignment="1" applyProtection="1">
      <alignment horizontal="center" vertical="center"/>
    </xf>
    <xf numFmtId="166" fontId="23" fillId="0" borderId="23" xfId="0" applyNumberFormat="1" applyFont="1" applyFill="1" applyBorder="1" applyAlignment="1" applyProtection="1">
      <alignment horizontal="center" vertical="center"/>
    </xf>
    <xf numFmtId="164" fontId="23" fillId="0" borderId="44" xfId="0" applyNumberFormat="1" applyFont="1" applyFill="1" applyBorder="1" applyAlignment="1" applyProtection="1">
      <alignment horizontal="center" vertical="center"/>
    </xf>
    <xf numFmtId="166" fontId="23" fillId="0" borderId="45" xfId="0" applyNumberFormat="1" applyFont="1" applyFill="1" applyBorder="1" applyAlignment="1" applyProtection="1">
      <alignment horizontal="center" vertical="center"/>
    </xf>
    <xf numFmtId="166" fontId="23" fillId="0" borderId="25" xfId="0" applyNumberFormat="1" applyFont="1" applyFill="1" applyBorder="1" applyAlignment="1" applyProtection="1">
      <alignment horizontal="center" vertical="center"/>
    </xf>
    <xf numFmtId="3" fontId="11" fillId="0" borderId="49" xfId="0" applyNumberFormat="1" applyFont="1" applyFill="1" applyBorder="1" applyAlignment="1" applyProtection="1">
      <alignment horizontal="center" vertical="center"/>
    </xf>
    <xf numFmtId="164" fontId="24" fillId="0" borderId="47" xfId="1" applyNumberFormat="1" applyFont="1" applyFill="1" applyBorder="1" applyAlignment="1" applyProtection="1">
      <alignment horizontal="center" vertical="center"/>
    </xf>
    <xf numFmtId="166" fontId="24" fillId="0" borderId="52" xfId="1" applyNumberFormat="1" applyFont="1" applyFill="1" applyBorder="1" applyAlignment="1" applyProtection="1">
      <alignment horizontal="center" vertical="center"/>
    </xf>
    <xf numFmtId="164" fontId="24" fillId="0" borderId="51" xfId="1" applyNumberFormat="1" applyFont="1" applyFill="1" applyBorder="1" applyAlignment="1" applyProtection="1">
      <alignment horizontal="center" vertical="center"/>
    </xf>
    <xf numFmtId="166" fontId="24" fillId="0" borderId="32" xfId="0" applyNumberFormat="1" applyFont="1" applyFill="1" applyBorder="1" applyAlignment="1" applyProtection="1">
      <alignment horizontal="center" vertical="center"/>
    </xf>
    <xf numFmtId="164" fontId="24" fillId="0" borderId="27" xfId="1" applyNumberFormat="1" applyFont="1" applyFill="1" applyBorder="1" applyAlignment="1" applyProtection="1">
      <alignment horizontal="center" vertical="center"/>
    </xf>
    <xf numFmtId="166" fontId="24" fillId="0" borderId="31" xfId="1" applyNumberFormat="1" applyFont="1" applyFill="1" applyBorder="1" applyAlignment="1" applyProtection="1">
      <alignment horizontal="center" vertical="center"/>
    </xf>
    <xf numFmtId="164" fontId="24" fillId="0" borderId="30" xfId="1" applyNumberFormat="1" applyFont="1" applyFill="1" applyBorder="1" applyAlignment="1" applyProtection="1">
      <alignment horizontal="center" vertical="center"/>
    </xf>
    <xf numFmtId="166" fontId="24" fillId="0" borderId="29" xfId="1" applyNumberFormat="1" applyFont="1" applyFill="1" applyBorder="1" applyAlignment="1" applyProtection="1">
      <alignment horizontal="center" vertical="center"/>
    </xf>
    <xf numFmtId="166" fontId="24" fillId="0" borderId="53" xfId="1" applyNumberFormat="1" applyFont="1" applyFill="1" applyBorder="1" applyAlignment="1" applyProtection="1">
      <alignment horizontal="center" vertical="center"/>
    </xf>
    <xf numFmtId="0" fontId="11" fillId="0" borderId="145" xfId="0" applyFont="1" applyFill="1" applyBorder="1" applyAlignment="1" applyProtection="1">
      <alignment horizontal="left" vertical="center" indent="1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0" borderId="54" xfId="0" applyNumberFormat="1" applyFont="1" applyFill="1" applyBorder="1" applyAlignment="1" applyProtection="1">
      <alignment horizontal="center" vertical="center"/>
    </xf>
    <xf numFmtId="3" fontId="11" fillId="0" borderId="55" xfId="0" applyNumberFormat="1" applyFont="1" applyFill="1" applyBorder="1" applyAlignment="1" applyProtection="1">
      <alignment horizontal="center" vertical="center"/>
    </xf>
    <xf numFmtId="164" fontId="24" fillId="0" borderId="33" xfId="1" applyNumberFormat="1" applyFont="1" applyFill="1" applyBorder="1" applyAlignment="1" applyProtection="1">
      <alignment horizontal="center" vertical="center"/>
    </xf>
    <xf numFmtId="166" fontId="24" fillId="0" borderId="58" xfId="1" applyNumberFormat="1" applyFont="1" applyFill="1" applyBorder="1" applyAlignment="1" applyProtection="1">
      <alignment horizontal="center" vertical="center"/>
    </xf>
    <xf numFmtId="164" fontId="24" fillId="0" borderId="57" xfId="1" applyNumberFormat="1" applyFont="1" applyFill="1" applyBorder="1" applyAlignment="1" applyProtection="1">
      <alignment horizontal="center" vertical="center"/>
    </xf>
    <xf numFmtId="166" fontId="24" fillId="0" borderId="21" xfId="0" applyNumberFormat="1" applyFont="1" applyFill="1" applyBorder="1" applyAlignment="1" applyProtection="1">
      <alignment horizontal="center" vertical="center"/>
    </xf>
    <xf numFmtId="164" fontId="24" fillId="0" borderId="7" xfId="1" applyNumberFormat="1" applyFont="1" applyFill="1" applyBorder="1" applyAlignment="1" applyProtection="1">
      <alignment horizontal="center" vertical="center"/>
    </xf>
    <xf numFmtId="166" fontId="24" fillId="0" borderId="59" xfId="1" applyNumberFormat="1" applyFont="1" applyFill="1" applyBorder="1" applyAlignment="1" applyProtection="1">
      <alignment horizontal="center" vertical="center"/>
    </xf>
    <xf numFmtId="0" fontId="11" fillId="0" borderId="146" xfId="0" applyFont="1" applyFill="1" applyBorder="1" applyAlignment="1" applyProtection="1">
      <alignment horizontal="left" vertical="center" indent="1"/>
    </xf>
    <xf numFmtId="166" fontId="24" fillId="0" borderId="53" xfId="0" applyNumberFormat="1" applyFont="1" applyFill="1" applyBorder="1" applyAlignment="1" applyProtection="1">
      <alignment horizontal="center" vertical="center"/>
    </xf>
    <xf numFmtId="166" fontId="24" fillId="0" borderId="50" xfId="1" applyNumberFormat="1" applyFont="1" applyFill="1" applyBorder="1" applyAlignment="1" applyProtection="1">
      <alignment horizontal="center" vertical="center"/>
    </xf>
    <xf numFmtId="0" fontId="11" fillId="0" borderId="147" xfId="0" applyFont="1" applyFill="1" applyBorder="1" applyAlignment="1" applyProtection="1">
      <alignment horizontal="left" vertical="center" indent="1"/>
    </xf>
    <xf numFmtId="3" fontId="11" fillId="0" borderId="34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 vertical="center"/>
    </xf>
    <xf numFmtId="3" fontId="11" fillId="0" borderId="36" xfId="0" applyNumberFormat="1" applyFont="1" applyFill="1" applyBorder="1" applyAlignment="1" applyProtection="1">
      <alignment horizontal="center" vertical="center"/>
    </xf>
    <xf numFmtId="164" fontId="24" fillId="0" borderId="34" xfId="1" applyNumberFormat="1" applyFont="1" applyFill="1" applyBorder="1" applyAlignment="1" applyProtection="1">
      <alignment horizontal="center" vertical="center"/>
    </xf>
    <xf numFmtId="166" fontId="24" fillId="0" borderId="39" xfId="1" applyNumberFormat="1" applyFont="1" applyFill="1" applyBorder="1" applyAlignment="1" applyProtection="1">
      <alignment horizontal="center" vertical="center"/>
    </xf>
    <xf numFmtId="164" fontId="24" fillId="0" borderId="38" xfId="1" applyNumberFormat="1" applyFont="1" applyFill="1" applyBorder="1" applyAlignment="1" applyProtection="1">
      <alignment horizontal="center" vertical="center"/>
    </xf>
    <xf numFmtId="166" fontId="24" fillId="0" borderId="40" xfId="0" applyNumberFormat="1" applyFont="1" applyFill="1" applyBorder="1" applyAlignment="1" applyProtection="1">
      <alignment horizontal="center" vertical="center"/>
    </xf>
    <xf numFmtId="166" fontId="24" fillId="0" borderId="37" xfId="1" applyNumberFormat="1" applyFont="1" applyFill="1" applyBorder="1" applyAlignment="1" applyProtection="1">
      <alignment horizontal="center" vertical="center"/>
    </xf>
    <xf numFmtId="166" fontId="24" fillId="0" borderId="40" xfId="1" applyNumberFormat="1" applyFont="1" applyFill="1" applyBorder="1" applyAlignment="1" applyProtection="1">
      <alignment horizontal="center" vertical="center"/>
    </xf>
    <xf numFmtId="166" fontId="24" fillId="0" borderId="78" xfId="0" applyNumberFormat="1" applyFont="1" applyFill="1" applyBorder="1" applyAlignment="1" applyProtection="1">
      <alignment horizontal="center" vertical="center"/>
    </xf>
    <xf numFmtId="164" fontId="23" fillId="0" borderId="4" xfId="0" applyNumberFormat="1" applyFont="1" applyFill="1" applyBorder="1" applyAlignment="1" applyProtection="1">
      <alignment horizontal="center" vertical="center"/>
    </xf>
    <xf numFmtId="164" fontId="23" fillId="0" borderId="63" xfId="0" applyNumberFormat="1" applyFont="1" applyFill="1" applyBorder="1" applyAlignment="1" applyProtection="1">
      <alignment horizontal="center" vertical="center"/>
    </xf>
    <xf numFmtId="0" fontId="11" fillId="0" borderId="147" xfId="2" applyFont="1" applyBorder="1" applyAlignment="1">
      <alignment horizontal="left" vertical="center" indent="1"/>
    </xf>
    <xf numFmtId="164" fontId="24" fillId="0" borderId="28" xfId="1" applyNumberFormat="1" applyFont="1" applyFill="1" applyBorder="1" applyAlignment="1" applyProtection="1">
      <alignment horizontal="center" vertical="center"/>
    </xf>
    <xf numFmtId="166" fontId="11" fillId="0" borderId="78" xfId="0" applyNumberFormat="1" applyFont="1" applyFill="1" applyBorder="1" applyAlignment="1" applyProtection="1">
      <alignment horizontal="center" vertical="center"/>
    </xf>
    <xf numFmtId="166" fontId="24" fillId="0" borderId="32" xfId="1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</xf>
    <xf numFmtId="166" fontId="24" fillId="0" borderId="78" xfId="1" applyNumberFormat="1" applyFont="1" applyFill="1" applyBorder="1" applyAlignment="1" applyProtection="1">
      <alignment horizontal="center" vertical="center"/>
    </xf>
    <xf numFmtId="0" fontId="11" fillId="0" borderId="145" xfId="2" applyFont="1" applyBorder="1" applyAlignment="1">
      <alignment horizontal="left" vertical="center" indent="1"/>
    </xf>
    <xf numFmtId="166" fontId="24" fillId="0" borderId="56" xfId="1" applyNumberFormat="1" applyFont="1" applyFill="1" applyBorder="1" applyAlignment="1" applyProtection="1">
      <alignment horizontal="center" vertical="center"/>
    </xf>
    <xf numFmtId="0" fontId="11" fillId="0" borderId="148" xfId="2" applyFont="1" applyBorder="1" applyAlignment="1">
      <alignment horizontal="left" vertical="center" indent="1"/>
    </xf>
    <xf numFmtId="3" fontId="5" fillId="0" borderId="47" xfId="0" applyNumberFormat="1" applyFont="1" applyFill="1" applyBorder="1" applyAlignment="1" applyProtection="1">
      <alignment horizontal="center" vertical="center"/>
    </xf>
    <xf numFmtId="3" fontId="5" fillId="0" borderId="48" xfId="0" applyNumberFormat="1" applyFont="1" applyFill="1" applyBorder="1" applyAlignment="1" applyProtection="1">
      <alignment horizontal="center" vertical="center"/>
    </xf>
    <xf numFmtId="3" fontId="5" fillId="0" borderId="135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23" fillId="0" borderId="24" xfId="0" applyNumberFormat="1" applyFont="1" applyFill="1" applyBorder="1" applyAlignment="1" applyProtection="1">
      <alignment horizontal="center" vertical="center"/>
    </xf>
    <xf numFmtId="166" fontId="23" fillId="0" borderId="62" xfId="1" applyNumberFormat="1" applyFont="1" applyFill="1" applyBorder="1" applyAlignment="1" applyProtection="1">
      <alignment horizontal="center" vertical="center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124" xfId="0" applyNumberFormat="1" applyFont="1" applyFill="1" applyBorder="1" applyAlignment="1" applyProtection="1">
      <alignment horizontal="center" vertical="center"/>
    </xf>
    <xf numFmtId="3" fontId="11" fillId="0" borderId="28" xfId="0" applyNumberFormat="1" applyFont="1" applyFill="1" applyBorder="1" applyAlignment="1" applyProtection="1">
      <alignment horizontal="center" vertical="center"/>
    </xf>
    <xf numFmtId="166" fontId="11" fillId="0" borderId="29" xfId="0" applyNumberFormat="1" applyFont="1" applyFill="1" applyBorder="1" applyAlignment="1" applyProtection="1">
      <alignment horizontal="center" vertical="center"/>
    </xf>
    <xf numFmtId="3" fontId="11" fillId="0" borderId="73" xfId="0" applyNumberFormat="1" applyFont="1" applyFill="1" applyBorder="1" applyAlignment="1" applyProtection="1">
      <alignment horizontal="center" vertical="center"/>
    </xf>
    <xf numFmtId="3" fontId="11" fillId="0" borderId="118" xfId="0" applyNumberFormat="1" applyFont="1" applyFill="1" applyBorder="1" applyAlignment="1" applyProtection="1">
      <alignment horizontal="center" vertical="center"/>
    </xf>
    <xf numFmtId="3" fontId="11" fillId="0" borderId="77" xfId="0" applyNumberFormat="1" applyFont="1" applyFill="1" applyBorder="1" applyAlignment="1" applyProtection="1">
      <alignment horizontal="center" vertical="center"/>
    </xf>
    <xf numFmtId="166" fontId="11" fillId="0" borderId="74" xfId="0" applyNumberFormat="1" applyFont="1" applyFill="1" applyBorder="1" applyAlignment="1" applyProtection="1">
      <alignment horizontal="center" vertical="center"/>
    </xf>
    <xf numFmtId="164" fontId="11" fillId="0" borderId="149" xfId="0" applyNumberFormat="1" applyFont="1" applyFill="1" applyBorder="1" applyAlignment="1" applyProtection="1">
      <alignment horizontal="center" vertical="center" shrinkToFit="1"/>
    </xf>
    <xf numFmtId="166" fontId="24" fillId="0" borderId="76" xfId="0" applyNumberFormat="1" applyFont="1" applyFill="1" applyBorder="1" applyAlignment="1" applyProtection="1">
      <alignment horizontal="center" vertical="center"/>
    </xf>
    <xf numFmtId="164" fontId="11" fillId="0" borderId="149" xfId="0" applyNumberFormat="1" applyFont="1" applyFill="1" applyBorder="1" applyAlignment="1" applyProtection="1">
      <alignment horizontal="center" vertical="center"/>
    </xf>
    <xf numFmtId="166" fontId="11" fillId="0" borderId="76" xfId="0" applyNumberFormat="1" applyFont="1" applyFill="1" applyBorder="1" applyAlignment="1" applyProtection="1">
      <alignment horizontal="center" vertical="center"/>
    </xf>
    <xf numFmtId="166" fontId="24" fillId="0" borderId="74" xfId="0" applyNumberFormat="1" applyFont="1" applyFill="1" applyBorder="1" applyAlignment="1" applyProtection="1">
      <alignment horizontal="center" vertical="center"/>
    </xf>
    <xf numFmtId="3" fontId="11" fillId="0" borderId="36" xfId="0" applyNumberFormat="1" applyFont="1" applyFill="1" applyBorder="1" applyAlignment="1" applyProtection="1">
      <alignment horizontal="right" vertical="center" shrinkToFit="1"/>
    </xf>
    <xf numFmtId="166" fontId="24" fillId="0" borderId="56" xfId="1" applyNumberFormat="1" applyFont="1" applyFill="1" applyBorder="1" applyAlignment="1" applyProtection="1">
      <alignment horizontal="right" vertical="center"/>
    </xf>
    <xf numFmtId="166" fontId="24" fillId="0" borderId="62" xfId="1" applyNumberFormat="1" applyFont="1" applyFill="1" applyBorder="1" applyAlignment="1" applyProtection="1">
      <alignment horizontal="center" vertical="center"/>
    </xf>
    <xf numFmtId="166" fontId="24" fillId="0" borderId="66" xfId="1" applyNumberFormat="1" applyFont="1" applyFill="1" applyBorder="1" applyAlignment="1" applyProtection="1">
      <alignment horizontal="center" vertical="center"/>
    </xf>
    <xf numFmtId="0" fontId="11" fillId="0" borderId="150" xfId="0" applyFont="1" applyFill="1" applyBorder="1" applyAlignment="1" applyProtection="1">
      <alignment horizontal="left" vertical="center" indent="1"/>
    </xf>
    <xf numFmtId="3" fontId="11" fillId="0" borderId="10" xfId="0" applyNumberFormat="1" applyFont="1" applyFill="1" applyBorder="1" applyAlignment="1" applyProtection="1">
      <alignment horizontal="center" vertical="center"/>
    </xf>
    <xf numFmtId="3" fontId="11" fillId="0" borderId="82" xfId="0" applyNumberFormat="1" applyFont="1" applyFill="1" applyBorder="1" applyAlignment="1" applyProtection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</xf>
    <xf numFmtId="166" fontId="11" fillId="0" borderId="83" xfId="0" applyNumberFormat="1" applyFont="1" applyFill="1" applyBorder="1" applyAlignment="1" applyProtection="1">
      <alignment horizontal="center" vertical="center"/>
    </xf>
    <xf numFmtId="166" fontId="11" fillId="0" borderId="84" xfId="0" applyNumberFormat="1" applyFont="1" applyFill="1" applyBorder="1" applyAlignment="1" applyProtection="1">
      <alignment horizontal="center" vertical="center"/>
    </xf>
    <xf numFmtId="164" fontId="24" fillId="0" borderId="12" xfId="1" applyNumberFormat="1" applyFont="1" applyFill="1" applyBorder="1" applyAlignment="1" applyProtection="1">
      <alignment horizontal="center" vertical="center"/>
    </xf>
    <xf numFmtId="166" fontId="24" fillId="0" borderId="84" xfId="1" applyNumberFormat="1" applyFont="1" applyFill="1" applyBorder="1" applyAlignment="1" applyProtection="1">
      <alignment horizontal="center" vertical="center"/>
    </xf>
    <xf numFmtId="166" fontId="5" fillId="0" borderId="85" xfId="0" applyNumberFormat="1" applyFont="1" applyFill="1" applyBorder="1" applyAlignment="1" applyProtection="1">
      <alignment horizontal="center" vertical="center"/>
    </xf>
    <xf numFmtId="166" fontId="24" fillId="0" borderId="83" xfId="1" applyNumberFormat="1" applyFont="1" applyFill="1" applyBorder="1" applyAlignment="1" applyProtection="1">
      <alignment horizontal="center" vertical="center"/>
    </xf>
    <xf numFmtId="166" fontId="24" fillId="0" borderId="151" xfId="1" applyNumberFormat="1" applyFont="1" applyFill="1" applyBorder="1" applyAlignment="1" applyProtection="1">
      <alignment horizontal="center" vertical="center"/>
    </xf>
    <xf numFmtId="164" fontId="24" fillId="0" borderId="60" xfId="1" applyNumberFormat="1" applyFont="1" applyFill="1" applyBorder="1" applyAlignment="1" applyProtection="1">
      <alignment horizontal="center" vertical="center"/>
    </xf>
    <xf numFmtId="166" fontId="24" fillId="0" borderId="64" xfId="1" applyNumberFormat="1" applyFont="1" applyFill="1" applyBorder="1" applyAlignment="1" applyProtection="1">
      <alignment horizontal="center" vertical="center"/>
    </xf>
    <xf numFmtId="164" fontId="24" fillId="0" borderId="65" xfId="1" applyNumberFormat="1" applyFont="1" applyFill="1" applyBorder="1" applyAlignment="1" applyProtection="1">
      <alignment horizontal="center" vertical="center"/>
    </xf>
    <xf numFmtId="0" fontId="11" fillId="0" borderId="152" xfId="0" applyFont="1" applyFill="1" applyBorder="1" applyAlignment="1" applyProtection="1">
      <alignment horizontal="left" vertical="center" indent="1"/>
    </xf>
    <xf numFmtId="3" fontId="11" fillId="0" borderId="86" xfId="0" applyNumberFormat="1" applyFont="1" applyFill="1" applyBorder="1" applyAlignment="1" applyProtection="1">
      <alignment horizontal="center" vertical="center"/>
    </xf>
    <xf numFmtId="3" fontId="11" fillId="0" borderId="87" xfId="0" applyNumberFormat="1" applyFont="1" applyFill="1" applyBorder="1" applyAlignment="1" applyProtection="1">
      <alignment horizontal="center" vertical="center"/>
    </xf>
    <xf numFmtId="3" fontId="11" fillId="0" borderId="88" xfId="0" applyNumberFormat="1" applyFont="1" applyFill="1" applyBorder="1" applyAlignment="1" applyProtection="1">
      <alignment horizontal="center" vertical="center"/>
    </xf>
    <xf numFmtId="164" fontId="24" fillId="0" borderId="86" xfId="1" applyNumberFormat="1" applyFont="1" applyFill="1" applyBorder="1" applyAlignment="1" applyProtection="1">
      <alignment horizontal="center" vertical="center"/>
    </xf>
    <xf numFmtId="166" fontId="24" fillId="0" borderId="92" xfId="1" applyNumberFormat="1" applyFont="1" applyFill="1" applyBorder="1" applyAlignment="1" applyProtection="1">
      <alignment horizontal="center" vertical="center"/>
    </xf>
    <xf numFmtId="164" fontId="24" fillId="0" borderId="94" xfId="1" applyNumberFormat="1" applyFont="1" applyFill="1" applyBorder="1" applyAlignment="1" applyProtection="1">
      <alignment horizontal="center" vertical="center"/>
    </xf>
    <xf numFmtId="166" fontId="24" fillId="0" borderId="85" xfId="1" applyNumberFormat="1" applyFont="1" applyFill="1" applyBorder="1" applyAlignment="1" applyProtection="1">
      <alignment horizontal="center" vertical="center"/>
    </xf>
    <xf numFmtId="166" fontId="24" fillId="0" borderId="90" xfId="1" applyNumberFormat="1" applyFont="1" applyFill="1" applyBorder="1" applyAlignment="1" applyProtection="1">
      <alignment horizontal="center" vertical="center"/>
    </xf>
    <xf numFmtId="3" fontId="5" fillId="0" borderId="98" xfId="0" applyNumberFormat="1" applyFont="1" applyFill="1" applyBorder="1" applyAlignment="1" applyProtection="1">
      <alignment horizontal="center" vertical="center"/>
    </xf>
    <xf numFmtId="3" fontId="5" fillId="0" borderId="153" xfId="0" applyNumberFormat="1" applyFont="1" applyFill="1" applyBorder="1" applyAlignment="1" applyProtection="1">
      <alignment horizontal="center" vertical="center"/>
    </xf>
    <xf numFmtId="3" fontId="5" fillId="0" borderId="129" xfId="0" applyNumberFormat="1" applyFont="1" applyFill="1" applyBorder="1" applyAlignment="1" applyProtection="1">
      <alignment horizontal="center" vertical="center"/>
    </xf>
    <xf numFmtId="4" fontId="5" fillId="0" borderId="154" xfId="0" applyNumberFormat="1" applyFont="1" applyFill="1" applyBorder="1" applyAlignment="1" applyProtection="1">
      <alignment horizontal="center" vertical="center"/>
    </xf>
    <xf numFmtId="3" fontId="5" fillId="0" borderId="131" xfId="0" applyNumberFormat="1" applyFont="1" applyFill="1" applyBorder="1" applyAlignment="1" applyProtection="1">
      <alignment horizontal="center" vertical="center"/>
    </xf>
    <xf numFmtId="2" fontId="23" fillId="0" borderId="155" xfId="0" applyNumberFormat="1" applyFont="1" applyFill="1" applyBorder="1" applyAlignment="1" applyProtection="1">
      <alignment horizontal="center" vertical="center"/>
    </xf>
    <xf numFmtId="2" fontId="5" fillId="0" borderId="154" xfId="0" applyNumberFormat="1" applyFont="1" applyFill="1" applyBorder="1" applyAlignment="1" applyProtection="1">
      <alignment horizontal="center" vertical="center"/>
    </xf>
    <xf numFmtId="2" fontId="23" fillId="0" borderId="154" xfId="0" applyNumberFormat="1" applyFont="1" applyFill="1" applyBorder="1" applyAlignment="1" applyProtection="1">
      <alignment horizontal="center" vertical="center"/>
    </xf>
    <xf numFmtId="2" fontId="5" fillId="0" borderId="155" xfId="0" applyNumberFormat="1" applyFont="1" applyFill="1" applyBorder="1" applyAlignment="1" applyProtection="1">
      <alignment horizontal="center" vertical="center"/>
    </xf>
    <xf numFmtId="2" fontId="5" fillId="0" borderId="128" xfId="0" applyNumberFormat="1" applyFont="1" applyFill="1" applyBorder="1" applyAlignment="1" applyProtection="1">
      <alignment horizontal="center" vertical="center"/>
    </xf>
    <xf numFmtId="167" fontId="5" fillId="0" borderId="4" xfId="0" applyNumberFormat="1" applyFont="1" applyFill="1" applyBorder="1" applyAlignment="1" applyProtection="1">
      <alignment horizontal="center" vertical="center"/>
    </xf>
    <xf numFmtId="167" fontId="5" fillId="0" borderId="6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/>
    </xf>
    <xf numFmtId="3" fontId="11" fillId="0" borderId="135" xfId="0" applyNumberFormat="1" applyFont="1" applyFill="1" applyBorder="1" applyAlignment="1" applyProtection="1">
      <alignment horizontal="center" vertical="center"/>
    </xf>
    <xf numFmtId="167" fontId="11" fillId="0" borderId="49" xfId="0" applyNumberFormat="1" applyFont="1" applyFill="1" applyBorder="1" applyAlignment="1" applyProtection="1">
      <alignment horizontal="center" vertical="center"/>
    </xf>
    <xf numFmtId="166" fontId="11" fillId="0" borderId="50" xfId="0" applyNumberFormat="1" applyFont="1" applyFill="1" applyBorder="1" applyAlignment="1" applyProtection="1">
      <alignment horizontal="center" vertical="center"/>
    </xf>
    <xf numFmtId="167" fontId="11" fillId="0" borderId="51" xfId="0" applyNumberFormat="1" applyFont="1" applyFill="1" applyBorder="1" applyAlignment="1" applyProtection="1">
      <alignment horizontal="center" vertical="center"/>
    </xf>
    <xf numFmtId="166" fontId="11" fillId="0" borderId="52" xfId="0" applyNumberFormat="1" applyFont="1" applyFill="1" applyBorder="1" applyAlignment="1" applyProtection="1">
      <alignment horizontal="center" vertical="center"/>
    </xf>
    <xf numFmtId="3" fontId="11" fillId="0" borderId="51" xfId="0" applyNumberFormat="1" applyFont="1" applyFill="1" applyBorder="1" applyAlignment="1" applyProtection="1">
      <alignment horizontal="center" vertical="center"/>
    </xf>
    <xf numFmtId="167" fontId="11" fillId="0" borderId="47" xfId="0" applyNumberFormat="1" applyFont="1" applyFill="1" applyBorder="1" applyAlignment="1" applyProtection="1">
      <alignment horizontal="center" vertical="center"/>
    </xf>
    <xf numFmtId="3" fontId="11" fillId="0" borderId="103" xfId="0" applyNumberFormat="1" applyFont="1" applyFill="1" applyBorder="1" applyAlignment="1" applyProtection="1">
      <alignment horizontal="center" vertical="top" shrinkToFit="1"/>
    </xf>
    <xf numFmtId="167" fontId="11" fillId="0" borderId="36" xfId="0" applyNumberFormat="1" applyFont="1" applyFill="1" applyBorder="1" applyAlignment="1" applyProtection="1">
      <alignment horizontal="center" vertical="top"/>
    </xf>
    <xf numFmtId="167" fontId="11" fillId="0" borderId="38" xfId="0" applyNumberFormat="1" applyFont="1" applyFill="1" applyBorder="1" applyAlignment="1" applyProtection="1">
      <alignment horizontal="center" vertical="top"/>
    </xf>
    <xf numFmtId="3" fontId="11" fillId="0" borderId="38" xfId="0" applyNumberFormat="1" applyFont="1" applyFill="1" applyBorder="1" applyAlignment="1" applyProtection="1">
      <alignment horizontal="center" vertical="top"/>
    </xf>
    <xf numFmtId="167" fontId="11" fillId="0" borderId="34" xfId="0" applyNumberFormat="1" applyFont="1" applyFill="1" applyBorder="1" applyAlignment="1" applyProtection="1">
      <alignment horizontal="center" vertical="top"/>
    </xf>
    <xf numFmtId="3" fontId="11" fillId="0" borderId="34" xfId="0" applyNumberFormat="1" applyFont="1" applyFill="1" applyBorder="1" applyAlignment="1" applyProtection="1">
      <alignment horizontal="right" vertical="top" shrinkToFit="1"/>
    </xf>
    <xf numFmtId="3" fontId="11" fillId="0" borderId="35" xfId="0" applyNumberFormat="1" applyFont="1" applyFill="1" applyBorder="1" applyAlignment="1" applyProtection="1">
      <alignment horizontal="right" vertical="top" shrinkToFit="1"/>
    </xf>
    <xf numFmtId="3" fontId="11" fillId="0" borderId="136" xfId="0" applyNumberFormat="1" applyFont="1" applyFill="1" applyBorder="1" applyAlignment="1" applyProtection="1">
      <alignment horizontal="right" vertical="top" shrinkToFit="1"/>
    </xf>
    <xf numFmtId="167" fontId="11" fillId="0" borderId="36" xfId="0" applyNumberFormat="1" applyFont="1" applyFill="1" applyBorder="1" applyAlignment="1" applyProtection="1">
      <alignment horizontal="right" vertical="center"/>
    </xf>
    <xf numFmtId="166" fontId="11" fillId="0" borderId="37" xfId="0" applyNumberFormat="1" applyFont="1" applyFill="1" applyBorder="1" applyAlignment="1" applyProtection="1">
      <alignment horizontal="right" vertical="center"/>
    </xf>
    <xf numFmtId="167" fontId="11" fillId="0" borderId="38" xfId="0" applyNumberFormat="1" applyFont="1" applyFill="1" applyBorder="1" applyAlignment="1" applyProtection="1">
      <alignment horizontal="right" vertical="center"/>
    </xf>
    <xf numFmtId="166" fontId="11" fillId="0" borderId="39" xfId="0" applyNumberFormat="1" applyFont="1" applyFill="1" applyBorder="1" applyAlignment="1" applyProtection="1">
      <alignment horizontal="right" vertical="center"/>
    </xf>
    <xf numFmtId="3" fontId="11" fillId="0" borderId="38" xfId="0" applyNumberFormat="1" applyFont="1" applyFill="1" applyBorder="1" applyAlignment="1" applyProtection="1">
      <alignment horizontal="right" vertical="center"/>
    </xf>
    <xf numFmtId="166" fontId="11" fillId="0" borderId="40" xfId="0" applyNumberFormat="1" applyFont="1" applyFill="1" applyBorder="1" applyAlignment="1" applyProtection="1">
      <alignment horizontal="right" vertical="center"/>
    </xf>
    <xf numFmtId="167" fontId="11" fillId="0" borderId="34" xfId="0" applyNumberFormat="1" applyFont="1" applyFill="1" applyBorder="1" applyAlignment="1" applyProtection="1">
      <alignment horizontal="center" vertical="center"/>
    </xf>
    <xf numFmtId="166" fontId="11" fillId="0" borderId="39" xfId="0" applyNumberFormat="1" applyFont="1" applyFill="1" applyBorder="1" applyAlignment="1" applyProtection="1">
      <alignment horizontal="center" vertical="center"/>
    </xf>
    <xf numFmtId="167" fontId="11" fillId="0" borderId="38" xfId="0" applyNumberFormat="1" applyFont="1" applyFill="1" applyBorder="1" applyAlignment="1" applyProtection="1">
      <alignment horizontal="center" vertical="center"/>
    </xf>
    <xf numFmtId="167" fontId="11" fillId="0" borderId="36" xfId="0" applyNumberFormat="1" applyFont="1" applyFill="1" applyBorder="1" applyAlignment="1" applyProtection="1">
      <alignment horizontal="center" vertical="center"/>
    </xf>
    <xf numFmtId="3" fontId="11" fillId="0" borderId="136" xfId="0" applyNumberFormat="1" applyFont="1" applyFill="1" applyBorder="1" applyAlignment="1" applyProtection="1">
      <alignment horizontal="right" vertical="center"/>
    </xf>
    <xf numFmtId="3" fontId="11" fillId="0" borderId="9" xfId="0" applyNumberFormat="1" applyFont="1" applyFill="1" applyBorder="1" applyAlignment="1" applyProtection="1">
      <alignment horizontal="right" vertical="center"/>
    </xf>
    <xf numFmtId="167" fontId="11" fillId="0" borderId="0" xfId="0" applyNumberFormat="1" applyFont="1" applyFill="1" applyBorder="1" applyAlignment="1" applyProtection="1">
      <alignment horizontal="right" vertical="center"/>
    </xf>
    <xf numFmtId="166" fontId="11" fillId="0" borderId="16" xfId="0" applyNumberFormat="1" applyFont="1" applyFill="1" applyBorder="1" applyAlignment="1" applyProtection="1">
      <alignment horizontal="right" vertical="center"/>
    </xf>
    <xf numFmtId="167" fontId="11" fillId="0" borderId="17" xfId="0" applyNumberFormat="1" applyFont="1" applyFill="1" applyBorder="1" applyAlignment="1" applyProtection="1">
      <alignment horizontal="right" vertical="center"/>
    </xf>
    <xf numFmtId="166" fontId="11" fillId="0" borderId="18" xfId="0" applyNumberFormat="1" applyFont="1" applyFill="1" applyBorder="1" applyAlignment="1" applyProtection="1">
      <alignment horizontal="right" vertical="center"/>
    </xf>
    <xf numFmtId="3" fontId="11" fillId="0" borderId="17" xfId="0" applyNumberFormat="1" applyFont="1" applyFill="1" applyBorder="1" applyAlignment="1" applyProtection="1">
      <alignment horizontal="right" vertical="center"/>
    </xf>
    <xf numFmtId="166" fontId="11" fillId="0" borderId="21" xfId="0" applyNumberFormat="1" applyFont="1" applyFill="1" applyBorder="1" applyAlignment="1" applyProtection="1">
      <alignment horizontal="right" vertical="center"/>
    </xf>
    <xf numFmtId="167" fontId="11" fillId="0" borderId="7" xfId="0" applyNumberFormat="1" applyFont="1" applyFill="1" applyBorder="1" applyAlignment="1" applyProtection="1">
      <alignment horizontal="center" vertical="center"/>
    </xf>
    <xf numFmtId="166" fontId="11" fillId="0" borderId="18" xfId="0" applyNumberFormat="1" applyFont="1" applyFill="1" applyBorder="1" applyAlignment="1" applyProtection="1">
      <alignment horizontal="center" vertical="center"/>
    </xf>
    <xf numFmtId="167" fontId="11" fillId="0" borderId="17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3" fontId="5" fillId="0" borderId="104" xfId="0" applyNumberFormat="1" applyFont="1" applyFill="1" applyBorder="1" applyAlignment="1" applyProtection="1">
      <alignment horizontal="center" vertical="center"/>
    </xf>
    <xf numFmtId="3" fontId="5" fillId="0" borderId="106" xfId="0" applyNumberFormat="1" applyFont="1" applyFill="1" applyBorder="1" applyAlignment="1" applyProtection="1">
      <alignment horizontal="center" vertical="center"/>
    </xf>
    <xf numFmtId="167" fontId="5" fillId="0" borderId="42" xfId="0" applyNumberFormat="1" applyFont="1" applyFill="1" applyBorder="1" applyAlignment="1" applyProtection="1">
      <alignment horizontal="center" vertical="center"/>
    </xf>
    <xf numFmtId="167" fontId="5" fillId="0" borderId="44" xfId="0" applyNumberFormat="1" applyFont="1" applyFill="1" applyBorder="1" applyAlignment="1" applyProtection="1">
      <alignment horizontal="center" vertical="center"/>
    </xf>
    <xf numFmtId="167" fontId="5" fillId="0" borderId="41" xfId="0" applyNumberFormat="1" applyFont="1" applyFill="1" applyBorder="1" applyAlignment="1" applyProtection="1">
      <alignment horizontal="center" vertical="center"/>
    </xf>
    <xf numFmtId="3" fontId="11" fillId="0" borderId="138" xfId="0" applyNumberFormat="1" applyFont="1" applyFill="1" applyBorder="1" applyAlignment="1" applyProtection="1">
      <alignment horizontal="center" vertical="center"/>
    </xf>
    <xf numFmtId="167" fontId="11" fillId="0" borderId="55" xfId="0" applyNumberFormat="1" applyFont="1" applyFill="1" applyBorder="1" applyAlignment="1" applyProtection="1">
      <alignment horizontal="center" vertical="center"/>
    </xf>
    <xf numFmtId="167" fontId="11" fillId="0" borderId="57" xfId="0" applyNumberFormat="1" applyFont="1" applyFill="1" applyBorder="1" applyAlignment="1" applyProtection="1">
      <alignment horizontal="center" vertical="center"/>
    </xf>
    <xf numFmtId="166" fontId="11" fillId="0" borderId="58" xfId="0" applyNumberFormat="1" applyFont="1" applyFill="1" applyBorder="1" applyAlignment="1" applyProtection="1">
      <alignment horizontal="center" vertical="center"/>
    </xf>
    <xf numFmtId="3" fontId="11" fillId="0" borderId="57" xfId="0" applyNumberFormat="1" applyFont="1" applyFill="1" applyBorder="1" applyAlignment="1" applyProtection="1">
      <alignment horizontal="center" vertical="center"/>
    </xf>
    <xf numFmtId="166" fontId="11" fillId="0" borderId="158" xfId="0" applyNumberFormat="1" applyFont="1" applyFill="1" applyBorder="1" applyAlignment="1" applyProtection="1">
      <alignment horizontal="center" vertical="center"/>
    </xf>
    <xf numFmtId="167" fontId="11" fillId="0" borderId="33" xfId="0" applyNumberFormat="1" applyFont="1" applyFill="1" applyBorder="1" applyAlignment="1" applyProtection="1">
      <alignment horizontal="center" vertical="center"/>
    </xf>
    <xf numFmtId="166" fontId="11" fillId="0" borderId="59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3" fontId="5" fillId="0" borderId="112" xfId="0" applyNumberFormat="1" applyFont="1" applyFill="1" applyBorder="1" applyAlignment="1" applyProtection="1">
      <alignment horizontal="center" vertical="center"/>
    </xf>
    <xf numFmtId="4" fontId="5" fillId="0" borderId="62" xfId="0" applyNumberFormat="1" applyFont="1" applyFill="1" applyBorder="1" applyAlignment="1" applyProtection="1">
      <alignment horizontal="center"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2" fontId="5" fillId="0" borderId="64" xfId="0" applyNumberFormat="1" applyFont="1" applyFill="1" applyBorder="1" applyAlignment="1" applyProtection="1">
      <alignment horizontal="center" vertical="center"/>
    </xf>
    <xf numFmtId="3" fontId="5" fillId="0" borderId="65" xfId="0" applyNumberFormat="1" applyFont="1" applyFill="1" applyBorder="1" applyAlignment="1" applyProtection="1">
      <alignment horizontal="center" vertical="center"/>
    </xf>
    <xf numFmtId="2" fontId="5" fillId="0" borderId="23" xfId="0" applyNumberFormat="1" applyFont="1" applyFill="1" applyBorder="1" applyAlignment="1" applyProtection="1">
      <alignment horizontal="center" vertical="center"/>
    </xf>
    <xf numFmtId="2" fontId="5" fillId="0" borderId="62" xfId="0" applyNumberFormat="1" applyFont="1" applyFill="1" applyBorder="1" applyAlignment="1" applyProtection="1">
      <alignment horizontal="center" vertical="center"/>
    </xf>
    <xf numFmtId="2" fontId="5" fillId="0" borderId="66" xfId="0" applyNumberFormat="1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2" fontId="11" fillId="0" borderId="32" xfId="0" applyNumberFormat="1" applyFont="1" applyFill="1" applyBorder="1" applyAlignment="1" applyProtection="1">
      <alignment horizontal="center" vertical="center"/>
    </xf>
    <xf numFmtId="3" fontId="11" fillId="0" borderId="136" xfId="0" applyNumberFormat="1" applyFont="1" applyFill="1" applyBorder="1" applyAlignment="1" applyProtection="1">
      <alignment horizontal="center" vertical="center"/>
    </xf>
    <xf numFmtId="166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2" fontId="11" fillId="0" borderId="40" xfId="0" applyNumberFormat="1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</xf>
    <xf numFmtId="2" fontId="11" fillId="0" borderId="159" xfId="0" applyNumberFormat="1" applyFont="1" applyFill="1" applyBorder="1" applyAlignment="1" applyProtection="1">
      <alignment horizontal="center" vertical="center"/>
    </xf>
    <xf numFmtId="167" fontId="5" fillId="0" borderId="133" xfId="0" applyNumberFormat="1" applyFont="1" applyFill="1" applyBorder="1" applyAlignment="1" applyProtection="1">
      <alignment horizontal="center" vertical="center"/>
    </xf>
    <xf numFmtId="167" fontId="11" fillId="0" borderId="28" xfId="0" applyNumberFormat="1" applyFont="1" applyFill="1" applyBorder="1" applyAlignment="1" applyProtection="1">
      <alignment horizontal="center" vertical="center"/>
    </xf>
    <xf numFmtId="167" fontId="11" fillId="0" borderId="30" xfId="0" applyNumberFormat="1" applyFont="1" applyFill="1" applyBorder="1" applyAlignment="1" applyProtection="1">
      <alignment horizontal="center" vertical="center"/>
    </xf>
    <xf numFmtId="166" fontId="11" fillId="0" borderId="31" xfId="0" applyNumberFormat="1" applyFont="1" applyFill="1" applyBorder="1" applyAlignment="1" applyProtection="1">
      <alignment horizontal="center" vertical="center"/>
    </xf>
    <xf numFmtId="3" fontId="11" fillId="0" borderId="30" xfId="0" applyNumberFormat="1" applyFont="1" applyFill="1" applyBorder="1" applyAlignment="1" applyProtection="1">
      <alignment horizontal="center" vertical="center"/>
    </xf>
    <xf numFmtId="167" fontId="11" fillId="0" borderId="27" xfId="0" applyNumberFormat="1" applyFont="1" applyFill="1" applyBorder="1" applyAlignment="1" applyProtection="1">
      <alignment horizontal="center" vertical="center"/>
    </xf>
    <xf numFmtId="167" fontId="11" fillId="0" borderId="160" xfId="0" applyNumberFormat="1" applyFont="1" applyFill="1" applyBorder="1" applyAlignment="1" applyProtection="1">
      <alignment horizontal="center" vertical="center"/>
    </xf>
    <xf numFmtId="166" fontId="11" fillId="0" borderId="56" xfId="0" applyNumberFormat="1" applyFont="1" applyFill="1" applyBorder="1" applyAlignment="1" applyProtection="1">
      <alignment horizontal="center" vertical="center"/>
    </xf>
    <xf numFmtId="167" fontId="11" fillId="0" borderId="71" xfId="0" applyNumberFormat="1" applyFont="1" applyFill="1" applyBorder="1" applyAlignment="1" applyProtection="1">
      <alignment horizontal="center" vertical="center"/>
    </xf>
    <xf numFmtId="166" fontId="11" fillId="0" borderId="68" xfId="0" applyNumberFormat="1" applyFont="1" applyFill="1" applyBorder="1" applyAlignment="1" applyProtection="1">
      <alignment horizontal="center" vertical="center"/>
    </xf>
    <xf numFmtId="167" fontId="11" fillId="0" borderId="69" xfId="0" applyNumberFormat="1" applyFont="1" applyFill="1" applyBorder="1" applyAlignment="1" applyProtection="1">
      <alignment horizontal="center" vertical="center"/>
    </xf>
    <xf numFmtId="166" fontId="11" fillId="0" borderId="70" xfId="0" applyNumberFormat="1" applyFont="1" applyFill="1" applyBorder="1" applyAlignment="1" applyProtection="1">
      <alignment horizontal="center" vertical="center"/>
    </xf>
    <xf numFmtId="3" fontId="11" fillId="0" borderId="69" xfId="0" applyNumberFormat="1" applyFont="1" applyFill="1" applyBorder="1" applyAlignment="1" applyProtection="1">
      <alignment horizontal="center" vertical="center"/>
    </xf>
    <xf numFmtId="166" fontId="11" fillId="0" borderId="72" xfId="0" applyNumberFormat="1" applyFont="1" applyFill="1" applyBorder="1" applyAlignment="1" applyProtection="1">
      <alignment horizontal="center" vertical="center"/>
    </xf>
    <xf numFmtId="167" fontId="11" fillId="0" borderId="67" xfId="0" applyNumberFormat="1" applyFont="1" applyFill="1" applyBorder="1" applyAlignment="1" applyProtection="1">
      <alignment horizontal="center" vertical="center"/>
    </xf>
    <xf numFmtId="0" fontId="11" fillId="0" borderId="161" xfId="2" applyFont="1" applyBorder="1" applyAlignment="1">
      <alignment horizontal="left" vertical="center" indent="1"/>
    </xf>
    <xf numFmtId="3" fontId="5" fillId="0" borderId="3" xfId="0" applyNumberFormat="1" applyFont="1" applyFill="1" applyBorder="1" applyAlignment="1" applyProtection="1">
      <alignment horizontal="center" vertical="center"/>
    </xf>
    <xf numFmtId="167" fontId="11" fillId="0" borderId="162" xfId="0" applyNumberFormat="1" applyFont="1" applyFill="1" applyBorder="1" applyAlignment="1" applyProtection="1">
      <alignment horizontal="center" vertical="center"/>
    </xf>
    <xf numFmtId="166" fontId="11" fillId="0" borderId="163" xfId="0" applyNumberFormat="1" applyFont="1" applyFill="1" applyBorder="1" applyAlignment="1" applyProtection="1">
      <alignment horizontal="center" vertical="center"/>
    </xf>
    <xf numFmtId="167" fontId="11" fillId="0" borderId="164" xfId="0" applyNumberFormat="1" applyFont="1" applyFill="1" applyBorder="1" applyAlignment="1" applyProtection="1">
      <alignment horizontal="center" vertical="center"/>
    </xf>
    <xf numFmtId="166" fontId="11" fillId="0" borderId="165" xfId="0" applyNumberFormat="1" applyFont="1" applyFill="1" applyBorder="1" applyAlignment="1" applyProtection="1">
      <alignment horizontal="center" vertical="center"/>
    </xf>
    <xf numFmtId="3" fontId="11" fillId="0" borderId="164" xfId="0" applyNumberFormat="1" applyFont="1" applyFill="1" applyBorder="1" applyAlignment="1" applyProtection="1">
      <alignment horizontal="center" vertical="center"/>
    </xf>
    <xf numFmtId="166" fontId="11" fillId="0" borderId="166" xfId="0" applyNumberFormat="1" applyFont="1" applyFill="1" applyBorder="1" applyAlignment="1" applyProtection="1">
      <alignment horizontal="center" vertical="center"/>
    </xf>
    <xf numFmtId="167" fontId="11" fillId="0" borderId="161" xfId="0" applyNumberFormat="1" applyFont="1" applyFill="1" applyBorder="1" applyAlignment="1" applyProtection="1">
      <alignment horizontal="center" vertical="center"/>
    </xf>
    <xf numFmtId="167" fontId="11" fillId="0" borderId="77" xfId="0" applyNumberFormat="1" applyFont="1" applyFill="1" applyBorder="1" applyAlignment="1" applyProtection="1">
      <alignment horizontal="center" vertical="center"/>
    </xf>
    <xf numFmtId="167" fontId="11" fillId="0" borderId="75" xfId="0" applyNumberFormat="1" applyFont="1" applyFill="1" applyBorder="1" applyAlignment="1" applyProtection="1">
      <alignment horizontal="center" vertical="center"/>
    </xf>
    <xf numFmtId="3" fontId="11" fillId="0" borderId="75" xfId="0" applyNumberFormat="1" applyFont="1" applyFill="1" applyBorder="1" applyAlignment="1" applyProtection="1">
      <alignment horizontal="center" vertical="center"/>
    </xf>
    <xf numFmtId="167" fontId="11" fillId="0" borderId="73" xfId="0" applyNumberFormat="1" applyFont="1" applyFill="1" applyBorder="1" applyAlignment="1" applyProtection="1">
      <alignment horizontal="center" vertical="center"/>
    </xf>
    <xf numFmtId="167" fontId="11" fillId="0" borderId="61" xfId="0" applyNumberFormat="1" applyFont="1" applyFill="1" applyBorder="1" applyAlignment="1" applyProtection="1">
      <alignment horizontal="center" vertical="center"/>
    </xf>
    <xf numFmtId="167" fontId="11" fillId="0" borderId="66" xfId="0" applyNumberFormat="1" applyFont="1" applyFill="1" applyBorder="1" applyAlignment="1" applyProtection="1">
      <alignment horizontal="center" vertical="center"/>
    </xf>
    <xf numFmtId="2" fontId="11" fillId="0" borderId="37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 shrinkToFit="1"/>
    </xf>
    <xf numFmtId="2" fontId="11" fillId="0" borderId="39" xfId="0" applyNumberFormat="1" applyFont="1" applyFill="1" applyBorder="1" applyAlignment="1" applyProtection="1">
      <alignment horizontal="center" vertical="center"/>
    </xf>
    <xf numFmtId="3" fontId="11" fillId="0" borderId="79" xfId="0" applyNumberFormat="1" applyFont="1" applyFill="1" applyBorder="1" applyAlignment="1" applyProtection="1">
      <alignment horizontal="center" vertical="center"/>
    </xf>
    <xf numFmtId="167" fontId="11" fillId="0" borderId="40" xfId="0" applyNumberFormat="1" applyFont="1" applyFill="1" applyBorder="1" applyAlignment="1" applyProtection="1">
      <alignment horizontal="center" vertical="center"/>
    </xf>
    <xf numFmtId="2" fontId="11" fillId="0" borderId="37" xfId="0" applyNumberFormat="1" applyFont="1" applyFill="1" applyBorder="1" applyAlignment="1" applyProtection="1">
      <alignment horizontal="right" vertical="center"/>
    </xf>
    <xf numFmtId="167" fontId="11" fillId="0" borderId="34" xfId="0" applyNumberFormat="1" applyFont="1" applyFill="1" applyBorder="1" applyAlignment="1" applyProtection="1">
      <alignment horizontal="right" vertical="center"/>
    </xf>
    <xf numFmtId="167" fontId="11" fillId="0" borderId="36" xfId="0" applyNumberFormat="1" applyFont="1" applyFill="1" applyBorder="1" applyAlignment="1" applyProtection="1">
      <alignment horizontal="right" vertical="center" shrinkToFit="1"/>
    </xf>
    <xf numFmtId="166" fontId="11" fillId="0" borderId="37" xfId="0" applyNumberFormat="1" applyFont="1" applyFill="1" applyBorder="1" applyAlignment="1" applyProtection="1">
      <alignment horizontal="right" vertical="center" shrinkToFit="1"/>
    </xf>
    <xf numFmtId="167" fontId="11" fillId="0" borderId="38" xfId="0" applyNumberFormat="1" applyFont="1" applyFill="1" applyBorder="1" applyAlignment="1" applyProtection="1">
      <alignment horizontal="right" vertical="center" shrinkToFit="1"/>
    </xf>
    <xf numFmtId="166" fontId="11" fillId="0" borderId="39" xfId="0" applyNumberFormat="1" applyFont="1" applyFill="1" applyBorder="1" applyAlignment="1" applyProtection="1">
      <alignment horizontal="right" vertical="center" shrinkToFit="1"/>
    </xf>
    <xf numFmtId="3" fontId="11" fillId="0" borderId="38" xfId="0" applyNumberFormat="1" applyFont="1" applyFill="1" applyBorder="1" applyAlignment="1" applyProtection="1">
      <alignment horizontal="right" vertical="center" shrinkToFit="1"/>
    </xf>
    <xf numFmtId="166" fontId="11" fillId="0" borderId="40" xfId="0" applyNumberFormat="1" applyFont="1" applyFill="1" applyBorder="1" applyAlignment="1" applyProtection="1">
      <alignment horizontal="right" vertical="center" shrinkToFit="1"/>
    </xf>
    <xf numFmtId="167" fontId="11" fillId="0" borderId="34" xfId="0" applyNumberFormat="1" applyFont="1" applyFill="1" applyBorder="1" applyAlignment="1" applyProtection="1">
      <alignment horizontal="right" vertical="center" shrinkToFit="1"/>
    </xf>
    <xf numFmtId="167" fontId="5" fillId="0" borderId="23" xfId="0" applyNumberFormat="1" applyFont="1" applyFill="1" applyBorder="1" applyAlignment="1" applyProtection="1">
      <alignment horizontal="center" vertical="center"/>
    </xf>
    <xf numFmtId="167" fontId="5" fillId="0" borderId="24" xfId="0" applyNumberFormat="1" applyFont="1" applyFill="1" applyBorder="1" applyAlignment="1" applyProtection="1">
      <alignment horizontal="center" vertical="center"/>
    </xf>
    <xf numFmtId="3" fontId="5" fillId="0" borderId="133" xfId="0" applyNumberFormat="1" applyFont="1" applyFill="1" applyBorder="1" applyAlignment="1" applyProtection="1">
      <alignment horizontal="center" vertical="center"/>
    </xf>
    <xf numFmtId="2" fontId="5" fillId="0" borderId="24" xfId="0" applyNumberFormat="1" applyFont="1" applyFill="1" applyBorder="1" applyAlignment="1" applyProtection="1">
      <alignment horizontal="center" vertical="center"/>
    </xf>
    <xf numFmtId="167" fontId="5" fillId="0" borderId="25" xfId="0" applyNumberFormat="1" applyFont="1" applyFill="1" applyBorder="1" applyAlignment="1" applyProtection="1">
      <alignment horizontal="center" vertical="center"/>
    </xf>
    <xf numFmtId="3" fontId="11" fillId="0" borderId="140" xfId="0" applyNumberFormat="1" applyFont="1" applyFill="1" applyBorder="1" applyAlignment="1" applyProtection="1">
      <alignment horizontal="center" vertical="center"/>
    </xf>
    <xf numFmtId="167" fontId="11" fillId="0" borderId="86" xfId="0" applyNumberFormat="1" applyFont="1" applyFill="1" applyBorder="1" applyAlignment="1" applyProtection="1">
      <alignment horizontal="center" vertical="center"/>
    </xf>
    <xf numFmtId="167" fontId="11" fillId="0" borderId="90" xfId="0" applyNumberFormat="1" applyFont="1" applyFill="1" applyBorder="1" applyAlignment="1" applyProtection="1">
      <alignment horizontal="center" vertical="center"/>
    </xf>
    <xf numFmtId="167" fontId="11" fillId="0" borderId="94" xfId="0" applyNumberFormat="1" applyFont="1" applyFill="1" applyBorder="1" applyAlignment="1" applyProtection="1">
      <alignment horizontal="center" vertical="center"/>
    </xf>
    <xf numFmtId="167" fontId="11" fillId="0" borderId="92" xfId="0" applyNumberFormat="1" applyFont="1" applyFill="1" applyBorder="1" applyAlignment="1" applyProtection="1">
      <alignment horizontal="center" vertical="center"/>
    </xf>
    <xf numFmtId="166" fontId="11" fillId="0" borderId="92" xfId="0" applyNumberFormat="1" applyFont="1" applyFill="1" applyBorder="1" applyAlignment="1" applyProtection="1">
      <alignment horizontal="center" vertical="center"/>
    </xf>
    <xf numFmtId="3" fontId="11" fillId="0" borderId="94" xfId="0" applyNumberFormat="1" applyFont="1" applyFill="1" applyBorder="1" applyAlignment="1" applyProtection="1">
      <alignment horizontal="center" vertical="center"/>
    </xf>
    <xf numFmtId="2" fontId="11" fillId="0" borderId="90" xfId="0" applyNumberFormat="1" applyFont="1" applyFill="1" applyBorder="1" applyAlignment="1" applyProtection="1">
      <alignment horizontal="center" vertical="center"/>
    </xf>
    <xf numFmtId="166" fontId="11" fillId="0" borderId="85" xfId="0" applyNumberFormat="1" applyFont="1" applyFill="1" applyBorder="1" applyAlignment="1" applyProtection="1">
      <alignment horizontal="center" vertical="center"/>
    </xf>
    <xf numFmtId="167" fontId="11" fillId="0" borderId="88" xfId="0" applyNumberFormat="1" applyFont="1" applyFill="1" applyBorder="1" applyAlignment="1" applyProtection="1">
      <alignment horizontal="center" vertical="center"/>
    </xf>
    <xf numFmtId="0" fontId="5" fillId="0" borderId="121" xfId="0" applyFont="1" applyFill="1" applyBorder="1" applyAlignment="1" applyProtection="1">
      <alignment horizontal="left" vertical="center"/>
    </xf>
    <xf numFmtId="3" fontId="5" fillId="0" borderId="20" xfId="0" applyNumberFormat="1" applyFont="1" applyFill="1" applyBorder="1" applyAlignment="1" applyProtection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</xf>
    <xf numFmtId="165" fontId="5" fillId="0" borderId="21" xfId="0" applyNumberFormat="1" applyFont="1" applyFill="1" applyBorder="1" applyAlignment="1" applyProtection="1">
      <alignment horizontal="center" vertical="center"/>
    </xf>
    <xf numFmtId="0" fontId="11" fillId="0" borderId="167" xfId="0" applyFont="1" applyFill="1" applyBorder="1" applyAlignment="1" applyProtection="1">
      <alignment horizontal="left" vertical="center" indent="1"/>
    </xf>
    <xf numFmtId="3" fontId="11" fillId="0" borderId="139" xfId="0" applyNumberFormat="1" applyFont="1" applyFill="1" applyBorder="1" applyAlignment="1" applyProtection="1">
      <alignment horizontal="center" vertical="center"/>
    </xf>
    <xf numFmtId="0" fontId="11" fillId="0" borderId="160" xfId="0" applyFont="1" applyFill="1" applyBorder="1" applyAlignment="1" applyProtection="1">
      <alignment horizontal="center" vertical="center"/>
    </xf>
    <xf numFmtId="2" fontId="11" fillId="0" borderId="31" xfId="0" applyNumberFormat="1" applyFont="1" applyFill="1" applyBorder="1" applyAlignment="1" applyProtection="1">
      <alignment horizontal="center" vertical="center"/>
    </xf>
    <xf numFmtId="0" fontId="11" fillId="0" borderId="122" xfId="0" applyFont="1" applyFill="1" applyBorder="1" applyAlignment="1" applyProtection="1">
      <alignment horizontal="left" vertical="center" wrapText="1" indent="1"/>
    </xf>
    <xf numFmtId="3" fontId="11" fillId="0" borderId="67" xfId="0" applyNumberFormat="1" applyFont="1" applyFill="1" applyBorder="1" applyAlignment="1" applyProtection="1">
      <alignment horizontal="center" vertical="center" shrinkToFit="1"/>
    </xf>
    <xf numFmtId="3" fontId="11" fillId="0" borderId="96" xfId="0" applyNumberFormat="1" applyFont="1" applyFill="1" applyBorder="1" applyAlignment="1" applyProtection="1">
      <alignment horizontal="center" vertical="center" shrinkToFit="1"/>
    </xf>
    <xf numFmtId="3" fontId="11" fillId="0" borderId="168" xfId="0" applyNumberFormat="1" applyFont="1" applyFill="1" applyBorder="1" applyAlignment="1" applyProtection="1">
      <alignment horizontal="center" vertical="center" shrinkToFit="1"/>
    </xf>
    <xf numFmtId="0" fontId="11" fillId="0" borderId="169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</xf>
    <xf numFmtId="3" fontId="5" fillId="0" borderId="170" xfId="0" applyNumberFormat="1" applyFont="1" applyFill="1" applyBorder="1" applyAlignment="1" applyProtection="1">
      <alignment horizontal="center" vertical="center"/>
    </xf>
    <xf numFmtId="3" fontId="5" fillId="0" borderId="171" xfId="0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164" fontId="5" fillId="0" borderId="172" xfId="0" applyNumberFormat="1" applyFont="1" applyFill="1" applyBorder="1" applyAlignment="1" applyProtection="1">
      <alignment horizontal="center" vertical="center"/>
    </xf>
    <xf numFmtId="165" fontId="5" fillId="0" borderId="159" xfId="0" applyNumberFormat="1" applyFont="1" applyFill="1" applyBorder="1" applyAlignment="1" applyProtection="1">
      <alignment horizontal="center" vertical="center"/>
    </xf>
    <xf numFmtId="3" fontId="5" fillId="0" borderId="173" xfId="0" applyNumberFormat="1" applyFont="1" applyFill="1" applyBorder="1" applyAlignment="1" applyProtection="1">
      <alignment horizontal="center" vertical="center"/>
    </xf>
    <xf numFmtId="2" fontId="5" fillId="0" borderId="174" xfId="0" applyNumberFormat="1" applyFont="1" applyFill="1" applyBorder="1" applyAlignment="1" applyProtection="1">
      <alignment horizontal="center" vertical="center"/>
    </xf>
    <xf numFmtId="165" fontId="5" fillId="0" borderId="174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164" fontId="5" fillId="0" borderId="170" xfId="0" applyNumberFormat="1" applyFont="1" applyFill="1" applyBorder="1" applyAlignment="1" applyProtection="1">
      <alignment horizontal="center" vertical="center"/>
    </xf>
    <xf numFmtId="164" fontId="5" fillId="0" borderId="77" xfId="0" applyNumberFormat="1" applyFont="1" applyFill="1" applyBorder="1" applyAlignment="1" applyProtection="1">
      <alignment horizontal="center" vertical="center"/>
    </xf>
    <xf numFmtId="165" fontId="5" fillId="0" borderId="175" xfId="0" applyNumberFormat="1" applyFont="1" applyFill="1" applyBorder="1" applyAlignment="1" applyProtection="1">
      <alignment horizontal="center" vertical="center"/>
    </xf>
    <xf numFmtId="2" fontId="11" fillId="0" borderId="146" xfId="0" applyNumberFormat="1" applyFont="1" applyFill="1" applyBorder="1" applyAlignment="1" applyProtection="1">
      <alignment horizontal="left" vertical="center" indent="1" shrinkToFit="1"/>
    </xf>
    <xf numFmtId="0" fontId="11" fillId="0" borderId="176" xfId="0" applyFont="1" applyFill="1" applyBorder="1" applyAlignment="1" applyProtection="1">
      <alignment horizontal="center" vertical="center"/>
    </xf>
    <xf numFmtId="0" fontId="11" fillId="0" borderId="177" xfId="0" applyFont="1" applyFill="1" applyBorder="1" applyAlignment="1" applyProtection="1">
      <alignment horizontal="center" vertical="center"/>
    </xf>
    <xf numFmtId="2" fontId="11" fillId="0" borderId="18" xfId="0" applyNumberFormat="1" applyFont="1" applyFill="1" applyBorder="1" applyAlignment="1" applyProtection="1">
      <alignment horizontal="center" vertical="center"/>
    </xf>
    <xf numFmtId="2" fontId="11" fillId="0" borderId="167" xfId="0" applyNumberFormat="1" applyFont="1" applyFill="1" applyBorder="1" applyAlignment="1" applyProtection="1">
      <alignment horizontal="left" vertical="center" indent="1" shrinkToFit="1"/>
    </xf>
    <xf numFmtId="164" fontId="22" fillId="0" borderId="49" xfId="0" applyNumberFormat="1" applyFont="1" applyBorder="1"/>
    <xf numFmtId="165" fontId="22" fillId="0" borderId="50" xfId="0" applyNumberFormat="1" applyFont="1" applyBorder="1"/>
    <xf numFmtId="2" fontId="11" fillId="0" borderId="52" xfId="0" applyNumberFormat="1" applyFont="1" applyFill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3" fontId="5" fillId="0" borderId="134" xfId="0" applyNumberFormat="1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149" xfId="0" applyFont="1" applyFill="1" applyBorder="1" applyAlignment="1" applyProtection="1">
      <alignment horizontal="center" vertical="center"/>
    </xf>
    <xf numFmtId="2" fontId="5" fillId="0" borderId="76" xfId="0" applyNumberFormat="1" applyFont="1" applyFill="1" applyBorder="1" applyAlignment="1" applyProtection="1">
      <alignment horizontal="center" vertical="center"/>
    </xf>
    <xf numFmtId="165" fontId="5" fillId="0" borderId="76" xfId="0" applyNumberFormat="1" applyFont="1" applyFill="1" applyBorder="1" applyAlignment="1" applyProtection="1">
      <alignment horizontal="center" vertical="center"/>
    </xf>
    <xf numFmtId="164" fontId="5" fillId="0" borderId="75" xfId="0" applyNumberFormat="1" applyFont="1" applyFill="1" applyBorder="1" applyAlignment="1" applyProtection="1">
      <alignment horizontal="center" vertical="center"/>
    </xf>
    <xf numFmtId="164" fontId="5" fillId="0" borderId="73" xfId="0" applyNumberFormat="1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178" xfId="2" applyFont="1" applyBorder="1" applyAlignment="1">
      <alignment horizontal="left" vertical="center" indent="1"/>
    </xf>
    <xf numFmtId="0" fontId="11" fillId="0" borderId="149" xfId="0" applyFont="1" applyFill="1" applyBorder="1" applyAlignment="1" applyProtection="1">
      <alignment horizontal="center" vertical="center"/>
    </xf>
    <xf numFmtId="0" fontId="11" fillId="0" borderId="76" xfId="0" applyFont="1" applyFill="1" applyBorder="1" applyAlignment="1" applyProtection="1">
      <alignment horizontal="center" vertical="center"/>
    </xf>
    <xf numFmtId="164" fontId="11" fillId="0" borderId="126" xfId="0" applyNumberFormat="1" applyFont="1" applyFill="1" applyBorder="1" applyAlignment="1" applyProtection="1">
      <alignment horizontal="center" vertical="center"/>
    </xf>
    <xf numFmtId="0" fontId="5" fillId="0" borderId="122" xfId="0" applyFont="1" applyFill="1" applyBorder="1" applyAlignment="1" applyProtection="1">
      <alignment horizontal="left" vertical="center"/>
    </xf>
    <xf numFmtId="3" fontId="5" fillId="0" borderId="17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167" fontId="5" fillId="0" borderId="30" xfId="0" applyNumberFormat="1" applyFont="1" applyFill="1" applyBorder="1" applyAlignment="1" applyProtection="1">
      <alignment horizontal="center" vertical="center"/>
    </xf>
    <xf numFmtId="167" fontId="5" fillId="0" borderId="31" xfId="0" applyNumberFormat="1" applyFont="1" applyFill="1" applyBorder="1" applyAlignment="1" applyProtection="1">
      <alignment horizontal="center" vertical="center"/>
    </xf>
    <xf numFmtId="164" fontId="11" fillId="0" borderId="160" xfId="0" applyNumberFormat="1" applyFont="1" applyFill="1" applyBorder="1" applyAlignment="1" applyProtection="1">
      <alignment horizontal="center" vertical="center"/>
    </xf>
    <xf numFmtId="167" fontId="5" fillId="0" borderId="65" xfId="0" applyNumberFormat="1" applyFont="1" applyFill="1" applyBorder="1" applyAlignment="1" applyProtection="1">
      <alignment horizontal="center" vertical="center"/>
    </xf>
    <xf numFmtId="167" fontId="5" fillId="0" borderId="64" xfId="0" applyNumberFormat="1" applyFont="1" applyFill="1" applyBorder="1" applyAlignment="1" applyProtection="1">
      <alignment horizontal="center" vertical="center"/>
    </xf>
    <xf numFmtId="167" fontId="11" fillId="0" borderId="52" xfId="0" applyNumberFormat="1" applyFont="1" applyFill="1" applyBorder="1" applyAlignment="1" applyProtection="1">
      <alignment horizontal="center" vertical="center"/>
    </xf>
    <xf numFmtId="164" fontId="11" fillId="0" borderId="176" xfId="0" applyNumberFormat="1" applyFont="1" applyFill="1" applyBorder="1" applyAlignment="1" applyProtection="1">
      <alignment horizontal="center" vertical="center"/>
    </xf>
    <xf numFmtId="164" fontId="5" fillId="0" borderId="98" xfId="0" applyNumberFormat="1" applyFont="1" applyFill="1" applyBorder="1" applyAlignment="1" applyProtection="1">
      <alignment horizontal="center" vertical="center"/>
    </xf>
    <xf numFmtId="165" fontId="5" fillId="0" borderId="154" xfId="0" applyNumberFormat="1" applyFont="1" applyFill="1" applyBorder="1" applyAlignment="1" applyProtection="1">
      <alignment horizontal="center" vertical="center"/>
    </xf>
    <xf numFmtId="164" fontId="5" fillId="0" borderId="142" xfId="0" applyNumberFormat="1" applyFont="1" applyFill="1" applyBorder="1" applyAlignment="1" applyProtection="1">
      <alignment horizontal="center" vertical="center"/>
    </xf>
    <xf numFmtId="164" fontId="5" fillId="0" borderId="131" xfId="0" applyNumberFormat="1" applyFont="1" applyFill="1" applyBorder="1" applyAlignment="1" applyProtection="1">
      <alignment horizontal="center" vertical="center"/>
    </xf>
    <xf numFmtId="165" fontId="5" fillId="0" borderId="155" xfId="0" applyNumberFormat="1" applyFont="1" applyFill="1" applyBorder="1" applyAlignment="1" applyProtection="1">
      <alignment horizontal="center" vertical="center"/>
    </xf>
    <xf numFmtId="164" fontId="5" fillId="0" borderId="129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/>
    </xf>
    <xf numFmtId="164" fontId="22" fillId="0" borderId="0" xfId="0" applyNumberFormat="1" applyFont="1"/>
    <xf numFmtId="165" fontId="22" fillId="0" borderId="0" xfId="0" applyNumberFormat="1" applyFont="1"/>
    <xf numFmtId="0" fontId="11" fillId="0" borderId="122" xfId="2" applyFont="1" applyBorder="1" applyAlignment="1">
      <alignment horizontal="left" vertical="center" indent="1"/>
    </xf>
    <xf numFmtId="164" fontId="24" fillId="0" borderId="67" xfId="1" applyNumberFormat="1" applyFont="1" applyFill="1" applyBorder="1" applyAlignment="1" applyProtection="1">
      <alignment horizontal="center" vertical="center"/>
    </xf>
    <xf numFmtId="166" fontId="24" fillId="0" borderId="70" xfId="1" applyNumberFormat="1" applyFont="1" applyFill="1" applyBorder="1" applyAlignment="1" applyProtection="1">
      <alignment horizontal="center" vertical="center"/>
    </xf>
    <xf numFmtId="164" fontId="24" fillId="0" borderId="69" xfId="1" applyNumberFormat="1" applyFont="1" applyFill="1" applyBorder="1" applyAlignment="1" applyProtection="1">
      <alignment horizontal="center" vertical="center"/>
    </xf>
    <xf numFmtId="166" fontId="24" fillId="0" borderId="72" xfId="1" applyNumberFormat="1" applyFont="1" applyFill="1" applyBorder="1" applyAlignment="1" applyProtection="1">
      <alignment horizontal="center" vertical="center"/>
    </xf>
    <xf numFmtId="166" fontId="24" fillId="0" borderId="68" xfId="1" applyNumberFormat="1" applyFont="1" applyFill="1" applyBorder="1" applyAlignment="1" applyProtection="1">
      <alignment horizontal="center" vertical="center"/>
    </xf>
    <xf numFmtId="165" fontId="11" fillId="0" borderId="40" xfId="1" applyNumberFormat="1" applyFont="1" applyFill="1" applyBorder="1" applyAlignment="1" applyProtection="1">
      <alignment horizontal="right" vertical="center"/>
    </xf>
    <xf numFmtId="164" fontId="5" fillId="0" borderId="179" xfId="0" applyNumberFormat="1" applyFont="1" applyFill="1" applyBorder="1" applyAlignment="1" applyProtection="1">
      <alignment horizontal="center" vertical="center"/>
    </xf>
    <xf numFmtId="164" fontId="5" fillId="0" borderId="180" xfId="0" applyNumberFormat="1" applyFont="1" applyFill="1" applyBorder="1" applyAlignment="1" applyProtection="1">
      <alignment horizontal="center" vertical="center"/>
    </xf>
    <xf numFmtId="164" fontId="11" fillId="0" borderId="109" xfId="0" applyNumberFormat="1" applyFont="1" applyFill="1" applyBorder="1" applyAlignment="1" applyProtection="1">
      <alignment horizontal="right" vertical="center" shrinkToFit="1"/>
    </xf>
    <xf numFmtId="164" fontId="11" fillId="0" borderId="54" xfId="0" applyNumberFormat="1" applyFont="1" applyFill="1" applyBorder="1" applyAlignment="1" applyProtection="1">
      <alignment horizontal="right" vertical="center" shrinkToFit="1"/>
    </xf>
    <xf numFmtId="164" fontId="11" fillId="0" borderId="110" xfId="0" applyNumberFormat="1" applyFont="1" applyFill="1" applyBorder="1" applyAlignment="1" applyProtection="1">
      <alignment horizontal="right" vertical="center" shrinkToFit="1"/>
    </xf>
    <xf numFmtId="164" fontId="11" fillId="0" borderId="181" xfId="0" applyNumberFormat="1" applyFont="1" applyFill="1" applyBorder="1" applyAlignment="1" applyProtection="1">
      <alignment horizontal="right" vertical="center"/>
    </xf>
    <xf numFmtId="164" fontId="11" fillId="0" borderId="182" xfId="0" applyNumberFormat="1" applyFont="1" applyFill="1" applyBorder="1" applyAlignment="1" applyProtection="1">
      <alignment horizontal="right" vertical="center"/>
    </xf>
    <xf numFmtId="164" fontId="11" fillId="0" borderId="26" xfId="0" applyNumberFormat="1" applyFont="1" applyFill="1" applyBorder="1" applyAlignment="1" applyProtection="1">
      <alignment horizontal="right" vertical="center" shrinkToFit="1"/>
    </xf>
    <xf numFmtId="164" fontId="11" fillId="0" borderId="101" xfId="0" applyNumberFormat="1" applyFont="1" applyFill="1" applyBorder="1" applyAlignment="1" applyProtection="1">
      <alignment horizontal="right" vertical="center" shrinkToFit="1"/>
    </xf>
    <xf numFmtId="165" fontId="11" fillId="0" borderId="56" xfId="1" applyNumberFormat="1" applyFont="1" applyFill="1" applyBorder="1" applyAlignment="1" applyProtection="1">
      <alignment horizontal="right" vertical="center"/>
    </xf>
    <xf numFmtId="165" fontId="11" fillId="0" borderId="74" xfId="1" applyNumberFormat="1" applyFont="1" applyFill="1" applyBorder="1" applyAlignment="1" applyProtection="1">
      <alignment horizontal="right" vertical="center"/>
    </xf>
    <xf numFmtId="164" fontId="11" fillId="0" borderId="7" xfId="1" applyNumberFormat="1" applyFont="1" applyFill="1" applyBorder="1" applyAlignment="1" applyProtection="1">
      <alignment horizontal="right" vertical="center" shrinkToFit="1"/>
    </xf>
    <xf numFmtId="165" fontId="11" fillId="0" borderId="16" xfId="1" applyNumberFormat="1" applyFont="1" applyFill="1" applyBorder="1" applyAlignment="1" applyProtection="1">
      <alignment horizontal="right" vertical="center" shrinkToFit="1"/>
    </xf>
    <xf numFmtId="164" fontId="11" fillId="0" borderId="17" xfId="1" applyNumberFormat="1" applyFont="1" applyFill="1" applyBorder="1" applyAlignment="1" applyProtection="1">
      <alignment horizontal="right" vertical="center" shrinkToFit="1"/>
    </xf>
    <xf numFmtId="165" fontId="11" fillId="0" borderId="18" xfId="1" applyNumberFormat="1" applyFont="1" applyFill="1" applyBorder="1" applyAlignment="1" applyProtection="1">
      <alignment horizontal="right" vertical="center" shrinkToFit="1"/>
    </xf>
    <xf numFmtId="164" fontId="13" fillId="0" borderId="0" xfId="0" applyNumberFormat="1" applyFont="1"/>
    <xf numFmtId="164" fontId="11" fillId="0" borderId="183" xfId="0" applyNumberFormat="1" applyFont="1" applyFill="1" applyBorder="1" applyAlignment="1" applyProtection="1">
      <alignment horizontal="center" vertical="center"/>
    </xf>
    <xf numFmtId="164" fontId="11" fillId="0" borderId="184" xfId="0" applyNumberFormat="1" applyFont="1" applyFill="1" applyBorder="1" applyAlignment="1" applyProtection="1">
      <alignment horizontal="center" vertical="center"/>
    </xf>
    <xf numFmtId="164" fontId="5" fillId="0" borderId="121" xfId="0" applyNumberFormat="1" applyFont="1" applyFill="1" applyBorder="1" applyAlignment="1" applyProtection="1">
      <alignment horizontal="center" vertical="center"/>
    </xf>
    <xf numFmtId="164" fontId="11" fillId="0" borderId="146" xfId="0" applyNumberFormat="1" applyFont="1" applyFill="1" applyBorder="1" applyAlignment="1" applyProtection="1">
      <alignment horizontal="center" vertical="center"/>
    </xf>
    <xf numFmtId="164" fontId="11" fillId="0" borderId="147" xfId="0" applyNumberFormat="1" applyFont="1" applyFill="1" applyBorder="1" applyAlignment="1" applyProtection="1">
      <alignment horizontal="center" vertical="center"/>
    </xf>
    <xf numFmtId="164" fontId="11" fillId="0" borderId="147" xfId="0" applyNumberFormat="1" applyFont="1" applyFill="1" applyBorder="1" applyAlignment="1" applyProtection="1">
      <alignment horizontal="right" vertical="center" shrinkToFit="1"/>
    </xf>
    <xf numFmtId="164" fontId="11" fillId="0" borderId="122" xfId="0" applyNumberFormat="1" applyFont="1" applyFill="1" applyBorder="1" applyAlignment="1" applyProtection="1">
      <alignment horizontal="right" vertical="center"/>
    </xf>
    <xf numFmtId="164" fontId="11" fillId="0" borderId="145" xfId="0" applyNumberFormat="1" applyFont="1" applyFill="1" applyBorder="1" applyAlignment="1" applyProtection="1">
      <alignment horizontal="center" vertical="center"/>
    </xf>
    <xf numFmtId="164" fontId="5" fillId="0" borderId="143" xfId="0" applyNumberFormat="1" applyFont="1" applyFill="1" applyBorder="1" applyAlignment="1" applyProtection="1">
      <alignment horizontal="center" vertical="center"/>
    </xf>
    <xf numFmtId="164" fontId="11" fillId="0" borderId="122" xfId="0" applyNumberFormat="1" applyFont="1" applyFill="1" applyBorder="1" applyAlignment="1" applyProtection="1">
      <alignment horizontal="center" vertical="center"/>
    </xf>
    <xf numFmtId="3" fontId="5" fillId="0" borderId="121" xfId="0" applyNumberFormat="1" applyFont="1" applyFill="1" applyBorder="1" applyAlignment="1" applyProtection="1">
      <alignment horizontal="center" vertical="center"/>
    </xf>
    <xf numFmtId="164" fontId="11" fillId="0" borderId="167" xfId="0" applyNumberFormat="1" applyFont="1" applyFill="1" applyBorder="1" applyAlignment="1" applyProtection="1">
      <alignment horizontal="center" vertical="center"/>
    </xf>
    <xf numFmtId="164" fontId="5" fillId="0" borderId="122" xfId="0" applyNumberFormat="1" applyFont="1" applyFill="1" applyBorder="1" applyAlignment="1" applyProtection="1">
      <alignment horizontal="center" vertical="center"/>
    </xf>
    <xf numFmtId="164" fontId="11" fillId="0" borderId="148" xfId="0" applyNumberFormat="1" applyFont="1" applyFill="1" applyBorder="1" applyAlignment="1" applyProtection="1">
      <alignment horizontal="right" vertical="center"/>
    </xf>
    <xf numFmtId="164" fontId="11" fillId="0" borderId="150" xfId="0" applyNumberFormat="1" applyFont="1" applyFill="1" applyBorder="1" applyAlignment="1" applyProtection="1">
      <alignment horizontal="center" vertical="center"/>
    </xf>
    <xf numFmtId="164" fontId="11" fillId="0" borderId="152" xfId="0" applyNumberFormat="1" applyFont="1" applyFill="1" applyBorder="1" applyAlignment="1" applyProtection="1">
      <alignment horizontal="center" vertical="center"/>
    </xf>
    <xf numFmtId="164" fontId="5" fillId="0" borderId="152" xfId="0" applyNumberFormat="1" applyFont="1" applyFill="1" applyBorder="1" applyAlignment="1" applyProtection="1">
      <alignment horizontal="center" vertical="center"/>
    </xf>
    <xf numFmtId="164" fontId="5" fillId="0" borderId="148" xfId="0" applyNumberFormat="1" applyFont="1" applyFill="1" applyBorder="1" applyAlignment="1" applyProtection="1">
      <alignment horizontal="center" vertical="center"/>
    </xf>
    <xf numFmtId="165" fontId="11" fillId="0" borderId="78" xfId="0" applyNumberFormat="1" applyFont="1" applyFill="1" applyBorder="1" applyAlignment="1" applyProtection="1">
      <alignment horizontal="left" vertical="center"/>
    </xf>
    <xf numFmtId="164" fontId="5" fillId="0" borderId="102" xfId="0" applyNumberFormat="1" applyFont="1" applyFill="1" applyBorder="1" applyAlignment="1" applyProtection="1">
      <alignment horizontal="center" vertical="center"/>
    </xf>
    <xf numFmtId="164" fontId="5" fillId="0" borderId="147" xfId="0" applyNumberFormat="1" applyFont="1" applyFill="1" applyBorder="1" applyAlignment="1" applyProtection="1">
      <alignment horizontal="center" vertical="center"/>
    </xf>
    <xf numFmtId="164" fontId="5" fillId="0" borderId="55" xfId="0" applyNumberFormat="1" applyFont="1" applyFill="1" applyBorder="1" applyAlignment="1" applyProtection="1">
      <alignment horizontal="center" vertical="center"/>
    </xf>
    <xf numFmtId="165" fontId="11" fillId="0" borderId="40" xfId="0" applyNumberFormat="1" applyFont="1" applyFill="1" applyBorder="1" applyAlignment="1" applyProtection="1">
      <alignment horizontal="left" vertical="center"/>
    </xf>
    <xf numFmtId="164" fontId="11" fillId="0" borderId="77" xfId="1" applyNumberFormat="1" applyFont="1" applyFill="1" applyBorder="1" applyAlignment="1" applyProtection="1">
      <alignment horizontal="right" vertical="center"/>
    </xf>
    <xf numFmtId="164" fontId="11" fillId="0" borderId="102" xfId="0" applyNumberFormat="1" applyFont="1" applyFill="1" applyBorder="1" applyAlignment="1" applyProtection="1">
      <alignment horizontal="right" vertical="center"/>
    </xf>
    <xf numFmtId="164" fontId="11" fillId="0" borderId="147" xfId="0" applyNumberFormat="1" applyFont="1" applyFill="1" applyBorder="1" applyAlignment="1" applyProtection="1">
      <alignment horizontal="right" vertical="center"/>
    </xf>
    <xf numFmtId="0" fontId="11" fillId="0" borderId="33" xfId="0" applyFont="1" applyFill="1" applyBorder="1" applyAlignment="1" applyProtection="1">
      <alignment horizontal="left" vertical="center" indent="1" shrinkToFit="1"/>
    </xf>
    <xf numFmtId="0" fontId="11" fillId="0" borderId="34" xfId="0" quotePrefix="1" applyFont="1" applyFill="1" applyBorder="1" applyAlignment="1" applyProtection="1">
      <alignment horizontal="left" vertical="center" indent="1" shrinkToFit="1"/>
    </xf>
    <xf numFmtId="164" fontId="11" fillId="0" borderId="181" xfId="0" applyNumberFormat="1" applyFont="1" applyFill="1" applyBorder="1" applyAlignment="1" applyProtection="1">
      <alignment horizontal="center" vertical="center"/>
    </xf>
    <xf numFmtId="164" fontId="11" fillId="0" borderId="118" xfId="0" applyNumberFormat="1" applyFont="1" applyFill="1" applyBorder="1" applyAlignment="1" applyProtection="1">
      <alignment horizontal="center" vertical="center"/>
    </xf>
    <xf numFmtId="164" fontId="11" fillId="0" borderId="148" xfId="0" applyNumberFormat="1" applyFont="1" applyFill="1" applyBorder="1" applyAlignment="1" applyProtection="1">
      <alignment horizontal="center" vertical="center"/>
    </xf>
    <xf numFmtId="0" fontId="0" fillId="0" borderId="77" xfId="0" applyFont="1" applyBorder="1"/>
    <xf numFmtId="164" fontId="5" fillId="0" borderId="99" xfId="0" applyNumberFormat="1" applyFont="1" applyFill="1" applyBorder="1" applyAlignment="1" applyProtection="1">
      <alignment horizontal="left" vertical="center"/>
    </xf>
    <xf numFmtId="164" fontId="5" fillId="0" borderId="104" xfId="0" applyNumberFormat="1" applyFont="1" applyFill="1" applyBorder="1" applyAlignment="1" applyProtection="1">
      <alignment horizontal="left" vertical="center"/>
    </xf>
    <xf numFmtId="164" fontId="5" fillId="0" borderId="22" xfId="0" applyNumberFormat="1" applyFont="1" applyFill="1" applyBorder="1" applyAlignment="1" applyProtection="1">
      <alignment horizontal="left" vertical="center"/>
    </xf>
    <xf numFmtId="3" fontId="5" fillId="0" borderId="99" xfId="0" applyNumberFormat="1" applyFont="1" applyFill="1" applyBorder="1" applyAlignment="1" applyProtection="1">
      <alignment horizontal="left" vertical="center"/>
    </xf>
    <xf numFmtId="164" fontId="5" fillId="0" borderId="2" xfId="0" applyNumberFormat="1" applyFont="1" applyFill="1" applyBorder="1" applyAlignment="1" applyProtection="1">
      <alignment horizontal="left" vertical="center"/>
    </xf>
    <xf numFmtId="164" fontId="5" fillId="0" borderId="105" xfId="0" applyNumberFormat="1" applyFont="1" applyFill="1" applyBorder="1" applyAlignment="1" applyProtection="1">
      <alignment horizontal="left" vertical="center"/>
    </xf>
    <xf numFmtId="164" fontId="5" fillId="0" borderId="111" xfId="0" applyNumberFormat="1" applyFont="1" applyFill="1" applyBorder="1" applyAlignment="1" applyProtection="1">
      <alignment horizontal="left" vertical="center"/>
    </xf>
    <xf numFmtId="3" fontId="5" fillId="0" borderId="2" xfId="0" applyNumberFormat="1" applyFont="1" applyFill="1" applyBorder="1" applyAlignment="1" applyProtection="1">
      <alignment horizontal="left" vertical="center"/>
    </xf>
    <xf numFmtId="164" fontId="11" fillId="0" borderId="102" xfId="0" applyNumberFormat="1" applyFont="1" applyFill="1" applyBorder="1" applyAlignment="1" applyProtection="1">
      <alignment horizontal="center" vertical="center" shrinkToFit="1"/>
    </xf>
    <xf numFmtId="164" fontId="11" fillId="0" borderId="35" xfId="0" applyNumberFormat="1" applyFont="1" applyFill="1" applyBorder="1" applyAlignment="1" applyProtection="1">
      <alignment horizontal="center" vertical="center" shrinkToFit="1"/>
    </xf>
    <xf numFmtId="164" fontId="5" fillId="0" borderId="6" xfId="0" applyNumberFormat="1" applyFont="1" applyFill="1" applyBorder="1" applyAlignment="1" applyProtection="1">
      <alignment horizontal="left" vertical="center"/>
    </xf>
    <xf numFmtId="164" fontId="5" fillId="0" borderId="44" xfId="0" applyNumberFormat="1" applyFont="1" applyFill="1" applyBorder="1" applyAlignment="1" applyProtection="1">
      <alignment horizontal="left" vertical="center"/>
    </xf>
    <xf numFmtId="3" fontId="5" fillId="0" borderId="6" xfId="0" applyNumberFormat="1" applyFont="1" applyFill="1" applyBorder="1" applyAlignment="1" applyProtection="1">
      <alignment horizontal="left" vertical="center"/>
    </xf>
    <xf numFmtId="164" fontId="11" fillId="0" borderId="36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164" fontId="7" fillId="0" borderId="99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7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70" xfId="0" applyNumberFormat="1" applyFont="1" applyBorder="1" applyAlignment="1">
      <alignment horizontal="center" vertical="center" wrapText="1"/>
    </xf>
    <xf numFmtId="49" fontId="6" fillId="0" borderId="185" xfId="0" applyNumberFormat="1" applyFont="1" applyBorder="1" applyAlignment="1">
      <alignment horizontal="center" vertical="center" wrapText="1"/>
    </xf>
    <xf numFmtId="3" fontId="7" fillId="0" borderId="100" xfId="0" applyNumberFormat="1" applyFont="1" applyBorder="1" applyAlignment="1">
      <alignment horizontal="center" vertical="center" wrapText="1"/>
    </xf>
    <xf numFmtId="3" fontId="7" fillId="0" borderId="101" xfId="0" applyNumberFormat="1" applyFont="1" applyBorder="1" applyAlignment="1">
      <alignment horizontal="center" vertical="center" wrapText="1"/>
    </xf>
    <xf numFmtId="49" fontId="6" fillId="0" borderId="121" xfId="0" applyNumberFormat="1" applyFont="1" applyBorder="1" applyAlignment="1">
      <alignment horizontal="center" vertical="center" wrapText="1"/>
    </xf>
    <xf numFmtId="49" fontId="6" fillId="0" borderId="122" xfId="0" applyNumberFormat="1" applyFont="1" applyBorder="1" applyAlignment="1">
      <alignment horizontal="center" vertical="center" wrapText="1"/>
    </xf>
    <xf numFmtId="49" fontId="6" fillId="0" borderId="12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49" fontId="6" fillId="0" borderId="98" xfId="0" applyNumberFormat="1" applyFont="1" applyBorder="1" applyAlignment="1">
      <alignment horizontal="center" vertical="center" wrapText="1"/>
    </xf>
    <xf numFmtId="49" fontId="6" fillId="0" borderId="129" xfId="0" applyNumberFormat="1" applyFont="1" applyBorder="1" applyAlignment="1">
      <alignment horizontal="center" vertical="center" wrapText="1"/>
    </xf>
    <xf numFmtId="49" fontId="6" fillId="0" borderId="130" xfId="0" applyNumberFormat="1" applyFont="1" applyBorder="1" applyAlignment="1">
      <alignment horizontal="center" vertical="center" wrapText="1"/>
    </xf>
    <xf numFmtId="49" fontId="6" fillId="0" borderId="119" xfId="0" applyNumberFormat="1" applyFont="1" applyBorder="1" applyAlignment="1">
      <alignment horizontal="center" vertical="center" wrapText="1"/>
    </xf>
    <xf numFmtId="49" fontId="6" fillId="0" borderId="132" xfId="0" applyNumberFormat="1" applyFont="1" applyBorder="1" applyAlignment="1">
      <alignment horizontal="center" vertical="center" wrapText="1"/>
    </xf>
    <xf numFmtId="166" fontId="6" fillId="0" borderId="82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49" fontId="6" fillId="0" borderId="13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49" fontId="21" fillId="0" borderId="98" xfId="0" applyNumberFormat="1" applyFont="1" applyBorder="1" applyAlignment="1">
      <alignment horizontal="center" vertical="center" wrapText="1"/>
    </xf>
    <xf numFmtId="49" fontId="21" fillId="0" borderId="129" xfId="0" applyNumberFormat="1" applyFont="1" applyBorder="1" applyAlignment="1">
      <alignment horizontal="center" vertical="center" wrapText="1"/>
    </xf>
    <xf numFmtId="167" fontId="6" fillId="0" borderId="129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119" xfId="0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167" fontId="6" fillId="0" borderId="156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7" fontId="6" fillId="0" borderId="126" xfId="0" applyNumberFormat="1" applyFont="1" applyBorder="1" applyAlignment="1">
      <alignment horizontal="center" vertical="center" wrapText="1"/>
    </xf>
    <xf numFmtId="167" fontId="6" fillId="0" borderId="131" xfId="0" applyNumberFormat="1" applyFont="1" applyBorder="1" applyAlignment="1">
      <alignment horizontal="center" vertical="center" wrapText="1"/>
    </xf>
    <xf numFmtId="167" fontId="6" fillId="0" borderId="130" xfId="0" applyNumberFormat="1" applyFont="1" applyBorder="1" applyAlignment="1">
      <alignment horizontal="center" vertical="center" wrapText="1"/>
    </xf>
    <xf numFmtId="3" fontId="7" fillId="0" borderId="97" xfId="0" applyNumberFormat="1" applyFont="1" applyBorder="1" applyAlignment="1">
      <alignment horizontal="center" vertical="center" wrapText="1"/>
    </xf>
    <xf numFmtId="3" fontId="7" fillId="0" borderId="12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6" fillId="0" borderId="186" xfId="0" applyNumberFormat="1" applyFont="1" applyBorder="1" applyAlignment="1">
      <alignment horizontal="center" vertical="center" wrapText="1"/>
    </xf>
    <xf numFmtId="165" fontId="5" fillId="0" borderId="85" xfId="0" applyNumberFormat="1" applyFont="1" applyFill="1" applyBorder="1" applyAlignment="1" applyProtection="1">
      <alignment horizontal="center" vertical="center"/>
    </xf>
    <xf numFmtId="0" fontId="11" fillId="0" borderId="34" xfId="2" applyFont="1" applyBorder="1" applyAlignment="1">
      <alignment horizontal="left" vertical="center" indent="1" shrinkToFit="1"/>
    </xf>
    <xf numFmtId="0" fontId="11" fillId="0" borderId="7" xfId="2" applyFont="1" applyBorder="1" applyAlignment="1">
      <alignment horizontal="left" vertical="center" indent="1" shrinkToFit="1"/>
    </xf>
    <xf numFmtId="0" fontId="11" fillId="0" borderId="33" xfId="2" applyFont="1" applyBorder="1" applyAlignment="1">
      <alignment horizontal="left" vertical="center" indent="1" shrinkToFit="1"/>
    </xf>
    <xf numFmtId="3" fontId="7" fillId="0" borderId="121" xfId="0" applyNumberFormat="1" applyFont="1" applyFill="1" applyBorder="1" applyAlignment="1">
      <alignment horizontal="center" vertical="center" wrapText="1"/>
    </xf>
    <xf numFmtId="3" fontId="7" fillId="0" borderId="122" xfId="0" applyNumberFormat="1" applyFont="1" applyFill="1" applyBorder="1" applyAlignment="1">
      <alignment horizontal="center" vertical="center" wrapText="1"/>
    </xf>
    <xf numFmtId="3" fontId="7" fillId="0" borderId="123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ตัวชี้วัด 3_4ตรี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63"/>
  <sheetViews>
    <sheetView tabSelected="1" zoomScale="115" zoomScaleNormal="115" zoomScaleSheetLayoutView="115" workbookViewId="0">
      <pane ySplit="6" topLeftCell="A7" activePane="bottomLeft" state="frozen"/>
      <selection pane="bottomLeft" activeCell="F9" sqref="F9"/>
    </sheetView>
  </sheetViews>
  <sheetFormatPr defaultColWidth="8.85546875" defaultRowHeight="15"/>
  <cols>
    <col min="1" max="1" width="33.28515625" style="20" customWidth="1"/>
    <col min="2" max="2" width="9.85546875" style="17" customWidth="1"/>
    <col min="3" max="3" width="9.140625" style="17" customWidth="1"/>
    <col min="4" max="5" width="10" style="17" customWidth="1"/>
    <col min="6" max="6" width="5.85546875" style="17" customWidth="1"/>
    <col min="7" max="7" width="7.85546875" style="18" customWidth="1"/>
    <col min="8" max="8" width="5.5703125" style="19" customWidth="1"/>
    <col min="9" max="9" width="8.140625" style="18" customWidth="1"/>
    <col min="10" max="10" width="5.5703125" style="17" customWidth="1"/>
    <col min="11" max="11" width="7.7109375" style="18" customWidth="1"/>
    <col min="12" max="12" width="8.28515625" style="19" customWidth="1"/>
    <col min="13" max="13" width="7.7109375" style="18" customWidth="1"/>
    <col min="14" max="14" width="5.42578125" style="19" customWidth="1"/>
    <col min="15" max="15" width="8.140625" style="18" customWidth="1"/>
    <col min="16" max="16" width="5.140625" style="19" customWidth="1"/>
    <col min="17" max="17" width="8" style="18" customWidth="1"/>
    <col min="18" max="18" width="5.140625" style="19" customWidth="1"/>
    <col min="19" max="19" width="7.7109375" style="18" customWidth="1"/>
    <col min="20" max="20" width="5.42578125" style="19" customWidth="1"/>
    <col min="21" max="21" width="8.140625" style="18" customWidth="1"/>
    <col min="22" max="22" width="5.140625" style="19" customWidth="1"/>
    <col min="23" max="23" width="8" style="18" customWidth="1"/>
    <col min="24" max="24" width="5.140625" style="19" customWidth="1"/>
    <col min="25" max="25" width="7.7109375" style="18" customWidth="1"/>
    <col min="26" max="26" width="8.140625" style="19" customWidth="1"/>
    <col min="27" max="27" width="7.7109375" style="18" customWidth="1"/>
    <col min="28" max="16384" width="8.85546875" style="1"/>
  </cols>
  <sheetData>
    <row r="1" spans="1:27" ht="25.9" customHeight="1">
      <c r="A1" s="928" t="s">
        <v>150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</row>
    <row r="2" spans="1:27" ht="6.75" customHeight="1" thickBot="1">
      <c r="A2" s="2"/>
      <c r="B2" s="3"/>
      <c r="C2" s="3"/>
      <c r="D2" s="3"/>
      <c r="E2" s="3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</row>
    <row r="3" spans="1:27" ht="21.75" customHeight="1">
      <c r="A3" s="921" t="s">
        <v>2</v>
      </c>
      <c r="B3" s="931" t="s">
        <v>3</v>
      </c>
      <c r="C3" s="933" t="s">
        <v>4</v>
      </c>
      <c r="D3" s="935" t="s">
        <v>122</v>
      </c>
      <c r="E3" s="991" t="s">
        <v>116</v>
      </c>
      <c r="F3" s="921" t="s">
        <v>6</v>
      </c>
      <c r="G3" s="922"/>
      <c r="H3" s="922"/>
      <c r="I3" s="922"/>
      <c r="J3" s="922"/>
      <c r="K3" s="945"/>
      <c r="L3" s="937" t="s">
        <v>7</v>
      </c>
      <c r="M3" s="923"/>
      <c r="N3" s="921" t="s">
        <v>118</v>
      </c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3"/>
      <c r="Z3" s="922" t="s">
        <v>7</v>
      </c>
      <c r="AA3" s="923"/>
    </row>
    <row r="4" spans="1:27" ht="21.75">
      <c r="A4" s="929"/>
      <c r="B4" s="932"/>
      <c r="C4" s="934"/>
      <c r="D4" s="936"/>
      <c r="E4" s="992"/>
      <c r="F4" s="946"/>
      <c r="G4" s="943"/>
      <c r="H4" s="943"/>
      <c r="I4" s="943"/>
      <c r="J4" s="943"/>
      <c r="K4" s="947"/>
      <c r="L4" s="938"/>
      <c r="M4" s="939"/>
      <c r="N4" s="944" t="s">
        <v>119</v>
      </c>
      <c r="O4" s="926"/>
      <c r="P4" s="926"/>
      <c r="Q4" s="926"/>
      <c r="R4" s="926"/>
      <c r="S4" s="926"/>
      <c r="T4" s="944" t="s">
        <v>121</v>
      </c>
      <c r="U4" s="926"/>
      <c r="V4" s="926"/>
      <c r="W4" s="926"/>
      <c r="X4" s="926"/>
      <c r="Y4" s="986"/>
      <c r="Z4" s="942"/>
      <c r="AA4" s="939"/>
    </row>
    <row r="5" spans="1:27" ht="19.5" customHeight="1">
      <c r="A5" s="929"/>
      <c r="B5" s="932"/>
      <c r="C5" s="934"/>
      <c r="D5" s="936"/>
      <c r="E5" s="992"/>
      <c r="F5" s="944" t="s">
        <v>123</v>
      </c>
      <c r="G5" s="926"/>
      <c r="H5" s="924" t="s">
        <v>9</v>
      </c>
      <c r="I5" s="925"/>
      <c r="J5" s="926" t="s">
        <v>124</v>
      </c>
      <c r="K5" s="925"/>
      <c r="L5" s="940"/>
      <c r="M5" s="941"/>
      <c r="N5" s="944" t="s">
        <v>123</v>
      </c>
      <c r="O5" s="926"/>
      <c r="P5" s="924" t="s">
        <v>9</v>
      </c>
      <c r="Q5" s="925"/>
      <c r="R5" s="926" t="s">
        <v>124</v>
      </c>
      <c r="S5" s="925"/>
      <c r="T5" s="944" t="s">
        <v>117</v>
      </c>
      <c r="U5" s="926"/>
      <c r="V5" s="924" t="s">
        <v>120</v>
      </c>
      <c r="W5" s="925"/>
      <c r="X5" s="926" t="s">
        <v>10</v>
      </c>
      <c r="Y5" s="986"/>
      <c r="Z5" s="943"/>
      <c r="AA5" s="941"/>
    </row>
    <row r="6" spans="1:27" ht="54" customHeight="1" thickBot="1">
      <c r="A6" s="930"/>
      <c r="B6" s="932"/>
      <c r="C6" s="934"/>
      <c r="D6" s="936"/>
      <c r="E6" s="993"/>
      <c r="F6" s="5" t="s">
        <v>11</v>
      </c>
      <c r="G6" s="6" t="s">
        <v>12</v>
      </c>
      <c r="H6" s="7" t="s">
        <v>13</v>
      </c>
      <c r="I6" s="8" t="s">
        <v>14</v>
      </c>
      <c r="J6" s="9" t="s">
        <v>15</v>
      </c>
      <c r="K6" s="8" t="s">
        <v>16</v>
      </c>
      <c r="L6" s="10" t="s">
        <v>17</v>
      </c>
      <c r="M6" s="8" t="s">
        <v>18</v>
      </c>
      <c r="N6" s="5" t="s">
        <v>19</v>
      </c>
      <c r="O6" s="6" t="s">
        <v>20</v>
      </c>
      <c r="P6" s="7" t="s">
        <v>21</v>
      </c>
      <c r="Q6" s="8" t="s">
        <v>22</v>
      </c>
      <c r="R6" s="9" t="s">
        <v>23</v>
      </c>
      <c r="S6" s="6" t="s">
        <v>24</v>
      </c>
      <c r="T6" s="5" t="s">
        <v>19</v>
      </c>
      <c r="U6" s="6" t="s">
        <v>20</v>
      </c>
      <c r="V6" s="7" t="s">
        <v>21</v>
      </c>
      <c r="W6" s="8" t="s">
        <v>22</v>
      </c>
      <c r="X6" s="9" t="s">
        <v>23</v>
      </c>
      <c r="Y6" s="12" t="s">
        <v>24</v>
      </c>
      <c r="Z6" s="10" t="s">
        <v>25</v>
      </c>
      <c r="AA6" s="12" t="s">
        <v>26</v>
      </c>
    </row>
    <row r="7" spans="1:27" ht="18.95" customHeight="1">
      <c r="A7" s="266" t="s">
        <v>27</v>
      </c>
      <c r="B7" s="907">
        <f>SUM(B8:B9)</f>
        <v>573</v>
      </c>
      <c r="C7" s="911">
        <f>SUM(C8:C14)</f>
        <v>180</v>
      </c>
      <c r="D7" s="917">
        <f>SUM(D8:D14)</f>
        <v>102</v>
      </c>
      <c r="E7" s="877"/>
      <c r="F7" s="165"/>
      <c r="G7" s="168"/>
      <c r="H7" s="169"/>
      <c r="I7" s="170"/>
      <c r="J7" s="167"/>
      <c r="K7" s="170"/>
      <c r="L7" s="167"/>
      <c r="M7" s="168"/>
      <c r="N7" s="165"/>
      <c r="O7" s="168"/>
      <c r="P7" s="169"/>
      <c r="Q7" s="170"/>
      <c r="R7" s="167"/>
      <c r="S7" s="168"/>
      <c r="T7" s="165"/>
      <c r="U7" s="168"/>
      <c r="V7" s="169"/>
      <c r="W7" s="170"/>
      <c r="X7" s="167"/>
      <c r="Y7" s="171"/>
      <c r="Z7" s="167"/>
      <c r="AA7" s="171"/>
    </row>
    <row r="8" spans="1:27" ht="18.95" customHeight="1">
      <c r="A8" s="225" t="s">
        <v>28</v>
      </c>
      <c r="B8" s="387">
        <v>248</v>
      </c>
      <c r="C8" s="241">
        <v>60</v>
      </c>
      <c r="D8" s="250">
        <v>58</v>
      </c>
      <c r="E8" s="878"/>
      <c r="F8" s="243"/>
      <c r="G8" s="244"/>
      <c r="H8" s="245"/>
      <c r="I8" s="246"/>
      <c r="J8" s="247"/>
      <c r="K8" s="246"/>
      <c r="L8" s="247"/>
      <c r="M8" s="389"/>
      <c r="N8" s="240"/>
      <c r="O8" s="249"/>
      <c r="P8" s="250"/>
      <c r="Q8" s="251"/>
      <c r="R8" s="242"/>
      <c r="S8" s="249"/>
      <c r="T8" s="240"/>
      <c r="U8" s="249"/>
      <c r="V8" s="250"/>
      <c r="W8" s="251"/>
      <c r="X8" s="242"/>
      <c r="Y8" s="252"/>
      <c r="Z8" s="242"/>
      <c r="AA8" s="252"/>
    </row>
    <row r="9" spans="1:27" ht="18.95" customHeight="1">
      <c r="A9" s="901" t="s">
        <v>159</v>
      </c>
      <c r="B9" s="187">
        <f>SUM(B10:B14)</f>
        <v>325</v>
      </c>
      <c r="C9" s="188"/>
      <c r="D9" s="189"/>
      <c r="E9" s="879"/>
      <c r="F9" s="190"/>
      <c r="G9" s="191"/>
      <c r="H9" s="192"/>
      <c r="I9" s="193"/>
      <c r="J9" s="189"/>
      <c r="K9" s="193"/>
      <c r="L9" s="189"/>
      <c r="M9" s="220"/>
      <c r="N9" s="187"/>
      <c r="O9" s="195"/>
      <c r="P9" s="196"/>
      <c r="Q9" s="195"/>
      <c r="R9" s="189"/>
      <c r="S9" s="262"/>
      <c r="T9" s="187"/>
      <c r="U9" s="195"/>
      <c r="V9" s="196"/>
      <c r="W9" s="195"/>
      <c r="X9" s="189"/>
      <c r="Y9" s="265"/>
      <c r="Z9" s="340"/>
      <c r="AA9" s="197"/>
    </row>
    <row r="10" spans="1:27" ht="18.95" customHeight="1">
      <c r="A10" s="901" t="s">
        <v>160</v>
      </c>
      <c r="B10" s="136">
        <v>324</v>
      </c>
      <c r="C10" s="341"/>
      <c r="D10" s="920">
        <v>32</v>
      </c>
      <c r="E10" s="880"/>
      <c r="F10" s="217"/>
      <c r="G10" s="218"/>
      <c r="H10" s="219"/>
      <c r="I10" s="220"/>
      <c r="J10" s="206"/>
      <c r="K10" s="205"/>
      <c r="L10" s="206"/>
      <c r="M10" s="205"/>
      <c r="N10" s="214"/>
      <c r="O10" s="143"/>
      <c r="P10" s="223"/>
      <c r="Q10" s="141"/>
      <c r="R10" s="211"/>
      <c r="S10" s="143"/>
      <c r="T10" s="214"/>
      <c r="U10" s="143"/>
      <c r="V10" s="223"/>
      <c r="W10" s="141"/>
      <c r="X10" s="211"/>
      <c r="Y10" s="224"/>
      <c r="Z10" s="211"/>
      <c r="AA10" s="212"/>
    </row>
    <row r="11" spans="1:27" ht="18.95" customHeight="1">
      <c r="A11" s="213" t="s">
        <v>161</v>
      </c>
      <c r="B11" s="899"/>
      <c r="C11" s="188">
        <v>30</v>
      </c>
      <c r="D11" s="196">
        <v>3</v>
      </c>
      <c r="E11" s="900"/>
      <c r="F11" s="217"/>
      <c r="G11" s="218"/>
      <c r="H11" s="219"/>
      <c r="I11" s="220"/>
      <c r="J11" s="221"/>
      <c r="K11" s="220"/>
      <c r="L11" s="221"/>
      <c r="M11" s="858"/>
      <c r="N11" s="214"/>
      <c r="O11" s="143"/>
      <c r="P11" s="223"/>
      <c r="Q11" s="141"/>
      <c r="R11" s="216"/>
      <c r="S11" s="143"/>
      <c r="T11" s="214"/>
      <c r="U11" s="143"/>
      <c r="V11" s="223"/>
      <c r="W11" s="141"/>
      <c r="X11" s="216"/>
      <c r="Y11" s="224"/>
      <c r="Z11" s="216"/>
      <c r="AA11" s="224"/>
    </row>
    <row r="12" spans="1:27" ht="18.95" customHeight="1">
      <c r="A12" s="213" t="s">
        <v>162</v>
      </c>
      <c r="B12" s="899"/>
      <c r="C12" s="188">
        <v>30</v>
      </c>
      <c r="D12" s="196">
        <v>3</v>
      </c>
      <c r="E12" s="900"/>
      <c r="F12" s="217"/>
      <c r="G12" s="218"/>
      <c r="H12" s="219"/>
      <c r="I12" s="220"/>
      <c r="J12" s="221"/>
      <c r="K12" s="220"/>
      <c r="L12" s="221"/>
      <c r="M12" s="220"/>
      <c r="N12" s="214"/>
      <c r="O12" s="143"/>
      <c r="P12" s="223"/>
      <c r="Q12" s="141"/>
      <c r="R12" s="223"/>
      <c r="S12" s="143"/>
      <c r="T12" s="214"/>
      <c r="U12" s="143"/>
      <c r="V12" s="223"/>
      <c r="W12" s="141"/>
      <c r="X12" s="223"/>
      <c r="Y12" s="224"/>
      <c r="Z12" s="216"/>
      <c r="AA12" s="224"/>
    </row>
    <row r="13" spans="1:27" ht="18.95" customHeight="1">
      <c r="A13" s="213" t="s">
        <v>163</v>
      </c>
      <c r="B13" s="899">
        <v>1</v>
      </c>
      <c r="C13" s="188">
        <v>30</v>
      </c>
      <c r="D13" s="196">
        <v>3</v>
      </c>
      <c r="E13" s="900"/>
      <c r="F13" s="217"/>
      <c r="G13" s="218"/>
      <c r="H13" s="219"/>
      <c r="I13" s="220"/>
      <c r="J13" s="221"/>
      <c r="K13" s="220"/>
      <c r="L13" s="221"/>
      <c r="M13" s="858"/>
      <c r="N13" s="214"/>
      <c r="O13" s="143"/>
      <c r="P13" s="223"/>
      <c r="Q13" s="141"/>
      <c r="R13" s="223"/>
      <c r="S13" s="143"/>
      <c r="T13" s="214"/>
      <c r="U13" s="143"/>
      <c r="V13" s="223"/>
      <c r="W13" s="141"/>
      <c r="X13" s="223"/>
      <c r="Y13" s="224"/>
      <c r="Z13" s="216"/>
      <c r="AA13" s="224"/>
    </row>
    <row r="14" spans="1:27" ht="18.95" customHeight="1" thickBot="1">
      <c r="A14" s="225" t="s">
        <v>164</v>
      </c>
      <c r="B14" s="392"/>
      <c r="C14" s="281">
        <v>30</v>
      </c>
      <c r="D14" s="290">
        <v>3</v>
      </c>
      <c r="E14" s="881"/>
      <c r="F14" s="202"/>
      <c r="G14" s="203"/>
      <c r="H14" s="204"/>
      <c r="I14" s="205"/>
      <c r="J14" s="206"/>
      <c r="K14" s="205"/>
      <c r="L14" s="206"/>
      <c r="M14" s="205"/>
      <c r="N14" s="207"/>
      <c r="O14" s="208"/>
      <c r="P14" s="209"/>
      <c r="Q14" s="210"/>
      <c r="R14" s="211"/>
      <c r="S14" s="208"/>
      <c r="T14" s="207"/>
      <c r="U14" s="208"/>
      <c r="V14" s="209"/>
      <c r="W14" s="210"/>
      <c r="X14" s="211"/>
      <c r="Y14" s="212"/>
      <c r="Z14" s="211"/>
      <c r="AA14" s="212"/>
    </row>
    <row r="15" spans="1:27" ht="18.95" customHeight="1">
      <c r="A15" s="228" t="s">
        <v>35</v>
      </c>
      <c r="B15" s="908">
        <f>SUM(B16:B17)</f>
        <v>1287</v>
      </c>
      <c r="C15" s="912">
        <f>SUM(C16:C17)</f>
        <v>290</v>
      </c>
      <c r="D15" s="918">
        <f>SUM(D16:D17)</f>
        <v>492</v>
      </c>
      <c r="E15" s="877"/>
      <c r="F15" s="232"/>
      <c r="G15" s="233"/>
      <c r="H15" s="234"/>
      <c r="I15" s="235"/>
      <c r="J15" s="231"/>
      <c r="K15" s="235"/>
      <c r="L15" s="231"/>
      <c r="M15" s="236"/>
      <c r="N15" s="165"/>
      <c r="O15" s="233"/>
      <c r="P15" s="169"/>
      <c r="Q15" s="237"/>
      <c r="R15" s="167"/>
      <c r="S15" s="233"/>
      <c r="T15" s="165"/>
      <c r="U15" s="233"/>
      <c r="V15" s="169"/>
      <c r="W15" s="237"/>
      <c r="X15" s="167"/>
      <c r="Y15" s="236"/>
      <c r="Z15" s="231"/>
      <c r="AA15" s="238"/>
    </row>
    <row r="16" spans="1:27" ht="18.95" customHeight="1">
      <c r="A16" s="239" t="s">
        <v>36</v>
      </c>
      <c r="B16" s="387">
        <v>581</v>
      </c>
      <c r="C16" s="241">
        <v>200</v>
      </c>
      <c r="D16" s="250">
        <v>274</v>
      </c>
      <c r="E16" s="878"/>
      <c r="F16" s="243"/>
      <c r="G16" s="244"/>
      <c r="H16" s="245"/>
      <c r="I16" s="246"/>
      <c r="J16" s="247"/>
      <c r="K16" s="246"/>
      <c r="L16" s="247"/>
      <c r="M16" s="252"/>
      <c r="N16" s="240"/>
      <c r="O16" s="249"/>
      <c r="P16" s="250"/>
      <c r="Q16" s="251"/>
      <c r="R16" s="242"/>
      <c r="S16" s="249"/>
      <c r="T16" s="240"/>
      <c r="U16" s="249"/>
      <c r="V16" s="250"/>
      <c r="W16" s="251"/>
      <c r="X16" s="242"/>
      <c r="Y16" s="252"/>
      <c r="Z16" s="242"/>
      <c r="AA16" s="252"/>
    </row>
    <row r="17" spans="1:27" ht="18.95" customHeight="1" thickBot="1">
      <c r="A17" s="198" t="s">
        <v>37</v>
      </c>
      <c r="B17" s="396">
        <v>706</v>
      </c>
      <c r="C17" s="254">
        <v>90</v>
      </c>
      <c r="D17" s="263">
        <v>218</v>
      </c>
      <c r="E17" s="882"/>
      <c r="F17" s="256"/>
      <c r="G17" s="257"/>
      <c r="H17" s="258"/>
      <c r="I17" s="259"/>
      <c r="J17" s="260"/>
      <c r="K17" s="259"/>
      <c r="L17" s="260"/>
      <c r="M17" s="265"/>
      <c r="N17" s="253"/>
      <c r="O17" s="262"/>
      <c r="P17" s="263"/>
      <c r="Q17" s="264"/>
      <c r="R17" s="255"/>
      <c r="S17" s="262"/>
      <c r="T17" s="253"/>
      <c r="U17" s="262"/>
      <c r="V17" s="263"/>
      <c r="W17" s="264"/>
      <c r="X17" s="255"/>
      <c r="Y17" s="265"/>
      <c r="Z17" s="255"/>
      <c r="AA17" s="265"/>
    </row>
    <row r="18" spans="1:27" ht="18.95" customHeight="1">
      <c r="A18" s="266" t="s">
        <v>38</v>
      </c>
      <c r="B18" s="909">
        <f>SUM(B19:B22)</f>
        <v>756</v>
      </c>
      <c r="C18" s="913">
        <f>SUM(C19:C22)</f>
        <v>300</v>
      </c>
      <c r="D18" s="478">
        <f>SUM(D19:D22)</f>
        <v>218</v>
      </c>
      <c r="E18" s="883"/>
      <c r="F18" s="267"/>
      <c r="G18" s="270"/>
      <c r="H18" s="271"/>
      <c r="I18" s="272"/>
      <c r="J18" s="269"/>
      <c r="K18" s="272"/>
      <c r="L18" s="269"/>
      <c r="M18" s="233"/>
      <c r="N18" s="267"/>
      <c r="O18" s="270"/>
      <c r="P18" s="273"/>
      <c r="Q18" s="235"/>
      <c r="R18" s="269"/>
      <c r="S18" s="270"/>
      <c r="T18" s="267"/>
      <c r="U18" s="270"/>
      <c r="V18" s="273"/>
      <c r="W18" s="235"/>
      <c r="X18" s="269"/>
      <c r="Y18" s="274"/>
      <c r="Z18" s="269"/>
      <c r="AA18" s="274"/>
    </row>
    <row r="19" spans="1:27" ht="18.95" customHeight="1">
      <c r="A19" s="275" t="s">
        <v>39</v>
      </c>
      <c r="B19" s="387">
        <v>207</v>
      </c>
      <c r="C19" s="241">
        <v>90</v>
      </c>
      <c r="D19" s="250">
        <v>63</v>
      </c>
      <c r="E19" s="878"/>
      <c r="F19" s="243"/>
      <c r="G19" s="244"/>
      <c r="H19" s="245"/>
      <c r="I19" s="246"/>
      <c r="J19" s="247"/>
      <c r="K19" s="246"/>
      <c r="L19" s="247"/>
      <c r="M19" s="252"/>
      <c r="N19" s="240"/>
      <c r="O19" s="249"/>
      <c r="P19" s="250"/>
      <c r="Q19" s="251"/>
      <c r="R19" s="242"/>
      <c r="S19" s="249"/>
      <c r="T19" s="240"/>
      <c r="U19" s="249"/>
      <c r="V19" s="250"/>
      <c r="W19" s="251"/>
      <c r="X19" s="242"/>
      <c r="Y19" s="252"/>
      <c r="Z19" s="242"/>
      <c r="AA19" s="252"/>
    </row>
    <row r="20" spans="1:27" ht="18.95" customHeight="1">
      <c r="A20" s="213" t="s">
        <v>40</v>
      </c>
      <c r="B20" s="400">
        <v>185</v>
      </c>
      <c r="C20" s="188">
        <v>90</v>
      </c>
      <c r="D20" s="196">
        <v>70</v>
      </c>
      <c r="E20" s="879"/>
      <c r="F20" s="190"/>
      <c r="G20" s="191"/>
      <c r="H20" s="192"/>
      <c r="I20" s="193"/>
      <c r="J20" s="277"/>
      <c r="K20" s="193"/>
      <c r="L20" s="192"/>
      <c r="M20" s="197"/>
      <c r="N20" s="187"/>
      <c r="O20" s="194"/>
      <c r="P20" s="196"/>
      <c r="Q20" s="279"/>
      <c r="R20" s="189"/>
      <c r="S20" s="194"/>
      <c r="T20" s="187"/>
      <c r="U20" s="194"/>
      <c r="V20" s="196"/>
      <c r="W20" s="279"/>
      <c r="X20" s="189"/>
      <c r="Y20" s="197"/>
      <c r="Z20" s="189"/>
      <c r="AA20" s="197"/>
    </row>
    <row r="21" spans="1:27" s="906" customFormat="1" ht="18.95" customHeight="1">
      <c r="A21" s="432" t="s">
        <v>41</v>
      </c>
      <c r="B21" s="903">
        <v>360</v>
      </c>
      <c r="C21" s="904">
        <v>90</v>
      </c>
      <c r="D21" s="325">
        <v>85</v>
      </c>
      <c r="E21" s="905"/>
      <c r="F21" s="318"/>
      <c r="G21" s="319"/>
      <c r="H21" s="320"/>
      <c r="I21" s="321"/>
      <c r="J21" s="322"/>
      <c r="K21" s="321"/>
      <c r="L21" s="322"/>
      <c r="M21" s="328"/>
      <c r="N21" s="323"/>
      <c r="O21" s="324"/>
      <c r="P21" s="325"/>
      <c r="Q21" s="326"/>
      <c r="R21" s="327"/>
      <c r="S21" s="324"/>
      <c r="T21" s="323"/>
      <c r="U21" s="324"/>
      <c r="V21" s="325"/>
      <c r="W21" s="326"/>
      <c r="X21" s="327"/>
      <c r="Y21" s="328"/>
      <c r="Z21" s="327"/>
      <c r="AA21" s="328"/>
    </row>
    <row r="22" spans="1:27" ht="18.95" customHeight="1" thickBot="1">
      <c r="A22" s="225" t="s">
        <v>151</v>
      </c>
      <c r="B22" s="402">
        <v>4</v>
      </c>
      <c r="C22" s="281">
        <v>30</v>
      </c>
      <c r="D22" s="290" t="s">
        <v>102</v>
      </c>
      <c r="E22" s="884"/>
      <c r="F22" s="283"/>
      <c r="G22" s="284"/>
      <c r="H22" s="285"/>
      <c r="I22" s="286"/>
      <c r="J22" s="287"/>
      <c r="K22" s="286"/>
      <c r="L22" s="287"/>
      <c r="M22" s="292"/>
      <c r="N22" s="280"/>
      <c r="O22" s="289"/>
      <c r="P22" s="290"/>
      <c r="Q22" s="291"/>
      <c r="R22" s="282"/>
      <c r="S22" s="289"/>
      <c r="T22" s="280"/>
      <c r="U22" s="289"/>
      <c r="V22" s="290"/>
      <c r="W22" s="291"/>
      <c r="X22" s="282"/>
      <c r="Y22" s="292"/>
      <c r="Z22" s="282"/>
      <c r="AA22" s="292"/>
    </row>
    <row r="23" spans="1:27" ht="18.95" customHeight="1">
      <c r="A23" s="293" t="s">
        <v>42</v>
      </c>
      <c r="B23" s="910">
        <f>SUM(B24:B50)</f>
        <v>6992</v>
      </c>
      <c r="C23" s="914">
        <f>SUM(C24:C50)</f>
        <v>2120</v>
      </c>
      <c r="D23" s="919">
        <f>SUM(D24:D50)</f>
        <v>2757</v>
      </c>
      <c r="E23" s="885"/>
      <c r="F23" s="165"/>
      <c r="G23" s="233"/>
      <c r="H23" s="169"/>
      <c r="I23" s="237"/>
      <c r="J23" s="167"/>
      <c r="K23" s="237"/>
      <c r="L23" s="167"/>
      <c r="M23" s="236"/>
      <c r="N23" s="165"/>
      <c r="O23" s="233"/>
      <c r="P23" s="169"/>
      <c r="Q23" s="237"/>
      <c r="R23" s="167"/>
      <c r="S23" s="233"/>
      <c r="T23" s="165"/>
      <c r="U23" s="233"/>
      <c r="V23" s="169"/>
      <c r="W23" s="237"/>
      <c r="X23" s="167"/>
      <c r="Y23" s="236"/>
      <c r="Z23" s="167"/>
      <c r="AA23" s="236"/>
    </row>
    <row r="24" spans="1:27" ht="18.95" customHeight="1">
      <c r="A24" s="159" t="s">
        <v>43</v>
      </c>
      <c r="B24" s="875">
        <v>6313</v>
      </c>
      <c r="C24" s="174"/>
      <c r="D24" s="183">
        <v>2174</v>
      </c>
      <c r="E24" s="886"/>
      <c r="F24" s="176"/>
      <c r="G24" s="177"/>
      <c r="H24" s="178"/>
      <c r="I24" s="179"/>
      <c r="J24" s="180"/>
      <c r="K24" s="179"/>
      <c r="L24" s="178"/>
      <c r="M24" s="248"/>
      <c r="N24" s="173"/>
      <c r="O24" s="182"/>
      <c r="P24" s="183"/>
      <c r="Q24" s="184"/>
      <c r="R24" s="175"/>
      <c r="S24" s="182"/>
      <c r="T24" s="173"/>
      <c r="U24" s="182"/>
      <c r="V24" s="183"/>
      <c r="W24" s="184"/>
      <c r="X24" s="175"/>
      <c r="Y24" s="185"/>
      <c r="Z24" s="175"/>
      <c r="AA24" s="185"/>
    </row>
    <row r="25" spans="1:27" ht="18.95" customHeight="1">
      <c r="A25" s="988" t="s">
        <v>148</v>
      </c>
      <c r="B25" s="903"/>
      <c r="C25" s="904">
        <v>95</v>
      </c>
      <c r="D25" s="325">
        <v>21</v>
      </c>
      <c r="E25" s="892"/>
      <c r="F25" s="318"/>
      <c r="G25" s="319"/>
      <c r="H25" s="320"/>
      <c r="I25" s="321"/>
      <c r="J25" s="322"/>
      <c r="K25" s="321"/>
      <c r="L25" s="322"/>
      <c r="M25" s="893"/>
      <c r="N25" s="323"/>
      <c r="O25" s="324"/>
      <c r="P25" s="325"/>
      <c r="Q25" s="326"/>
      <c r="R25" s="807"/>
      <c r="S25" s="329"/>
      <c r="T25" s="323"/>
      <c r="U25" s="324"/>
      <c r="V25" s="325"/>
      <c r="W25" s="326"/>
      <c r="X25" s="807"/>
      <c r="Y25" s="449"/>
      <c r="Z25" s="327"/>
      <c r="AA25" s="328"/>
    </row>
    <row r="26" spans="1:27" ht="18.95" customHeight="1">
      <c r="A26" s="160" t="s">
        <v>129</v>
      </c>
      <c r="B26" s="400">
        <v>5</v>
      </c>
      <c r="C26" s="188">
        <v>95</v>
      </c>
      <c r="D26" s="196">
        <v>24</v>
      </c>
      <c r="E26" s="895"/>
      <c r="F26" s="190"/>
      <c r="G26" s="191"/>
      <c r="H26" s="192"/>
      <c r="I26" s="193"/>
      <c r="J26" s="277"/>
      <c r="K26" s="193"/>
      <c r="L26" s="277"/>
      <c r="M26" s="897"/>
      <c r="N26" s="187"/>
      <c r="O26" s="194"/>
      <c r="P26" s="196"/>
      <c r="Q26" s="279"/>
      <c r="R26" s="189"/>
      <c r="S26" s="194"/>
      <c r="T26" s="187"/>
      <c r="U26" s="194"/>
      <c r="V26" s="196"/>
      <c r="W26" s="279"/>
      <c r="X26" s="189"/>
      <c r="Y26" s="197"/>
      <c r="Z26" s="189"/>
      <c r="AA26" s="197"/>
    </row>
    <row r="27" spans="1:27" ht="18.95" customHeight="1">
      <c r="A27" s="160" t="s">
        <v>130</v>
      </c>
      <c r="B27" s="400">
        <v>2</v>
      </c>
      <c r="C27" s="188">
        <v>95</v>
      </c>
      <c r="D27" s="196">
        <v>11</v>
      </c>
      <c r="E27" s="895"/>
      <c r="F27" s="190"/>
      <c r="G27" s="191"/>
      <c r="H27" s="192"/>
      <c r="I27" s="193"/>
      <c r="J27" s="277"/>
      <c r="K27" s="193"/>
      <c r="L27" s="277"/>
      <c r="M27" s="897"/>
      <c r="N27" s="187"/>
      <c r="O27" s="194"/>
      <c r="P27" s="196"/>
      <c r="Q27" s="279"/>
      <c r="R27" s="189"/>
      <c r="S27" s="194"/>
      <c r="T27" s="187"/>
      <c r="U27" s="194"/>
      <c r="V27" s="196"/>
      <c r="W27" s="279"/>
      <c r="X27" s="189"/>
      <c r="Y27" s="197"/>
      <c r="Z27" s="189"/>
      <c r="AA27" s="197"/>
    </row>
    <row r="28" spans="1:27" ht="18.95" customHeight="1">
      <c r="A28" s="160" t="s">
        <v>131</v>
      </c>
      <c r="B28" s="400">
        <v>2</v>
      </c>
      <c r="C28" s="188">
        <v>120</v>
      </c>
      <c r="D28" s="196">
        <v>5</v>
      </c>
      <c r="E28" s="895"/>
      <c r="F28" s="190"/>
      <c r="G28" s="191"/>
      <c r="H28" s="192"/>
      <c r="I28" s="193"/>
      <c r="J28" s="277"/>
      <c r="K28" s="193"/>
      <c r="L28" s="277"/>
      <c r="M28" s="897"/>
      <c r="N28" s="187"/>
      <c r="O28" s="194"/>
      <c r="P28" s="196"/>
      <c r="Q28" s="279"/>
      <c r="R28" s="189"/>
      <c r="S28" s="194"/>
      <c r="T28" s="187"/>
      <c r="U28" s="194"/>
      <c r="V28" s="196"/>
      <c r="W28" s="279"/>
      <c r="X28" s="189"/>
      <c r="Y28" s="197"/>
      <c r="Z28" s="189"/>
      <c r="AA28" s="197"/>
    </row>
    <row r="29" spans="1:27" ht="18.95" customHeight="1">
      <c r="A29" s="160" t="s">
        <v>132</v>
      </c>
      <c r="B29" s="400">
        <v>10</v>
      </c>
      <c r="C29" s="188">
        <v>95</v>
      </c>
      <c r="D29" s="196">
        <v>24</v>
      </c>
      <c r="E29" s="895"/>
      <c r="F29" s="190"/>
      <c r="G29" s="191"/>
      <c r="H29" s="192"/>
      <c r="I29" s="193"/>
      <c r="J29" s="277"/>
      <c r="K29" s="193"/>
      <c r="L29" s="277"/>
      <c r="M29" s="897"/>
      <c r="N29" s="187"/>
      <c r="O29" s="194"/>
      <c r="P29" s="196"/>
      <c r="Q29" s="279"/>
      <c r="R29" s="189"/>
      <c r="S29" s="194"/>
      <c r="T29" s="187"/>
      <c r="U29" s="194"/>
      <c r="V29" s="196"/>
      <c r="W29" s="279"/>
      <c r="X29" s="189"/>
      <c r="Y29" s="197"/>
      <c r="Z29" s="189"/>
      <c r="AA29" s="197"/>
    </row>
    <row r="30" spans="1:27" ht="18.95" customHeight="1">
      <c r="A30" s="160" t="s">
        <v>133</v>
      </c>
      <c r="B30" s="400">
        <v>9</v>
      </c>
      <c r="C30" s="188">
        <v>120</v>
      </c>
      <c r="D30" s="196">
        <v>9</v>
      </c>
      <c r="E30" s="895"/>
      <c r="F30" s="190"/>
      <c r="G30" s="191"/>
      <c r="H30" s="192"/>
      <c r="I30" s="193"/>
      <c r="J30" s="277"/>
      <c r="K30" s="193"/>
      <c r="L30" s="277"/>
      <c r="M30" s="897"/>
      <c r="N30" s="187"/>
      <c r="O30" s="194"/>
      <c r="P30" s="196"/>
      <c r="Q30" s="279"/>
      <c r="R30" s="189"/>
      <c r="S30" s="194"/>
      <c r="T30" s="187"/>
      <c r="U30" s="194"/>
      <c r="V30" s="196"/>
      <c r="W30" s="279"/>
      <c r="X30" s="189"/>
      <c r="Y30" s="197"/>
      <c r="Z30" s="189"/>
      <c r="AA30" s="197"/>
    </row>
    <row r="31" spans="1:27" ht="18.95" customHeight="1">
      <c r="A31" s="160" t="s">
        <v>134</v>
      </c>
      <c r="B31" s="400">
        <v>4</v>
      </c>
      <c r="C31" s="188">
        <v>95</v>
      </c>
      <c r="D31" s="196">
        <v>10</v>
      </c>
      <c r="E31" s="895"/>
      <c r="F31" s="190"/>
      <c r="G31" s="191"/>
      <c r="H31" s="192"/>
      <c r="I31" s="193"/>
      <c r="J31" s="277"/>
      <c r="K31" s="193"/>
      <c r="L31" s="277"/>
      <c r="M31" s="897"/>
      <c r="N31" s="187"/>
      <c r="O31" s="194"/>
      <c r="P31" s="196"/>
      <c r="Q31" s="279"/>
      <c r="R31" s="189"/>
      <c r="S31" s="194"/>
      <c r="T31" s="187"/>
      <c r="U31" s="194"/>
      <c r="V31" s="196"/>
      <c r="W31" s="279"/>
      <c r="X31" s="189"/>
      <c r="Y31" s="197"/>
      <c r="Z31" s="189"/>
      <c r="AA31" s="197"/>
    </row>
    <row r="32" spans="1:27" ht="18.95" customHeight="1">
      <c r="A32" s="161" t="s">
        <v>135</v>
      </c>
      <c r="B32" s="400"/>
      <c r="C32" s="188">
        <v>95</v>
      </c>
      <c r="D32" s="196">
        <v>30</v>
      </c>
      <c r="E32" s="895"/>
      <c r="F32" s="256"/>
      <c r="G32" s="257"/>
      <c r="H32" s="258"/>
      <c r="I32" s="259"/>
      <c r="J32" s="260"/>
      <c r="K32" s="259"/>
      <c r="L32" s="260"/>
      <c r="M32" s="897"/>
      <c r="N32" s="253"/>
      <c r="O32" s="262"/>
      <c r="P32" s="263"/>
      <c r="Q32" s="279"/>
      <c r="R32" s="255"/>
      <c r="S32" s="262"/>
      <c r="T32" s="253"/>
      <c r="U32" s="262"/>
      <c r="V32" s="263"/>
      <c r="W32" s="279"/>
      <c r="X32" s="255"/>
      <c r="Y32" s="265"/>
      <c r="Z32" s="255"/>
      <c r="AA32" s="265"/>
    </row>
    <row r="33" spans="1:27" ht="18.95" customHeight="1">
      <c r="A33" s="161" t="s">
        <v>136</v>
      </c>
      <c r="B33" s="400">
        <v>6</v>
      </c>
      <c r="C33" s="188">
        <v>95</v>
      </c>
      <c r="D33" s="196">
        <v>17</v>
      </c>
      <c r="E33" s="895"/>
      <c r="F33" s="256"/>
      <c r="G33" s="257"/>
      <c r="H33" s="258"/>
      <c r="I33" s="259"/>
      <c r="J33" s="260"/>
      <c r="K33" s="259"/>
      <c r="L33" s="260"/>
      <c r="M33" s="897"/>
      <c r="N33" s="253"/>
      <c r="O33" s="262"/>
      <c r="P33" s="263"/>
      <c r="Q33" s="279"/>
      <c r="R33" s="255"/>
      <c r="S33" s="262"/>
      <c r="T33" s="253"/>
      <c r="U33" s="262"/>
      <c r="V33" s="263"/>
      <c r="W33" s="279"/>
      <c r="X33" s="255"/>
      <c r="Y33" s="265"/>
      <c r="Z33" s="255"/>
      <c r="AA33" s="265"/>
    </row>
    <row r="34" spans="1:27" ht="18.95" customHeight="1">
      <c r="A34" s="161" t="s">
        <v>137</v>
      </c>
      <c r="B34" s="400">
        <v>3</v>
      </c>
      <c r="C34" s="188">
        <v>120</v>
      </c>
      <c r="D34" s="196">
        <v>7</v>
      </c>
      <c r="E34" s="895"/>
      <c r="F34" s="256"/>
      <c r="G34" s="257"/>
      <c r="H34" s="258"/>
      <c r="I34" s="259"/>
      <c r="J34" s="260"/>
      <c r="K34" s="259"/>
      <c r="L34" s="260"/>
      <c r="M34" s="897"/>
      <c r="N34" s="253"/>
      <c r="O34" s="262"/>
      <c r="P34" s="263"/>
      <c r="Q34" s="279"/>
      <c r="R34" s="255"/>
      <c r="S34" s="302"/>
      <c r="T34" s="253"/>
      <c r="U34" s="262"/>
      <c r="V34" s="263"/>
      <c r="W34" s="279"/>
      <c r="X34" s="255"/>
      <c r="Y34" s="451"/>
      <c r="Z34" s="255"/>
      <c r="AA34" s="265"/>
    </row>
    <row r="35" spans="1:27" ht="18.95" customHeight="1">
      <c r="A35" s="161" t="s">
        <v>138</v>
      </c>
      <c r="B35" s="400">
        <v>2</v>
      </c>
      <c r="C35" s="188">
        <v>120</v>
      </c>
      <c r="D35" s="196">
        <v>10</v>
      </c>
      <c r="E35" s="895"/>
      <c r="F35" s="256"/>
      <c r="G35" s="257"/>
      <c r="H35" s="258"/>
      <c r="I35" s="259"/>
      <c r="J35" s="260"/>
      <c r="K35" s="259"/>
      <c r="L35" s="260"/>
      <c r="M35" s="897"/>
      <c r="N35" s="253"/>
      <c r="O35" s="262"/>
      <c r="P35" s="263"/>
      <c r="Q35" s="264"/>
      <c r="R35" s="255"/>
      <c r="S35" s="262"/>
      <c r="T35" s="253"/>
      <c r="U35" s="262"/>
      <c r="V35" s="263"/>
      <c r="W35" s="264"/>
      <c r="X35" s="255"/>
      <c r="Y35" s="265"/>
      <c r="Z35" s="255"/>
      <c r="AA35" s="265"/>
    </row>
    <row r="36" spans="1:27" ht="18.95" customHeight="1">
      <c r="A36" s="160" t="s">
        <v>139</v>
      </c>
      <c r="B36" s="894"/>
      <c r="C36" s="188">
        <v>95</v>
      </c>
      <c r="D36" s="196">
        <v>13</v>
      </c>
      <c r="E36" s="895"/>
      <c r="F36" s="190"/>
      <c r="G36" s="191"/>
      <c r="H36" s="192"/>
      <c r="I36" s="193"/>
      <c r="J36" s="277"/>
      <c r="K36" s="193"/>
      <c r="L36" s="277"/>
      <c r="M36" s="897"/>
      <c r="N36" s="187"/>
      <c r="O36" s="194"/>
      <c r="P36" s="196"/>
      <c r="Q36" s="279"/>
      <c r="R36" s="196"/>
      <c r="S36" s="194"/>
      <c r="T36" s="187"/>
      <c r="U36" s="194"/>
      <c r="V36" s="196"/>
      <c r="W36" s="279"/>
      <c r="X36" s="196"/>
      <c r="Y36" s="197"/>
      <c r="Z36" s="189"/>
      <c r="AA36" s="197"/>
    </row>
    <row r="37" spans="1:27" ht="18.95" customHeight="1">
      <c r="A37" s="163" t="s">
        <v>140</v>
      </c>
      <c r="B37" s="400">
        <v>8</v>
      </c>
      <c r="C37" s="188">
        <v>95</v>
      </c>
      <c r="D37" s="196">
        <v>24</v>
      </c>
      <c r="E37" s="895"/>
      <c r="F37" s="318"/>
      <c r="G37" s="319"/>
      <c r="H37" s="320"/>
      <c r="I37" s="321"/>
      <c r="J37" s="322"/>
      <c r="K37" s="321"/>
      <c r="L37" s="322"/>
      <c r="M37" s="897"/>
      <c r="N37" s="323"/>
      <c r="O37" s="324"/>
      <c r="P37" s="325"/>
      <c r="Q37" s="326"/>
      <c r="R37" s="327"/>
      <c r="S37" s="324"/>
      <c r="T37" s="323"/>
      <c r="U37" s="324"/>
      <c r="V37" s="325"/>
      <c r="W37" s="326"/>
      <c r="X37" s="327"/>
      <c r="Y37" s="328"/>
      <c r="Z37" s="327"/>
      <c r="AA37" s="328"/>
    </row>
    <row r="38" spans="1:27" ht="18.95" customHeight="1">
      <c r="A38" s="160" t="s">
        <v>141</v>
      </c>
      <c r="B38" s="400">
        <v>3</v>
      </c>
      <c r="C38" s="188">
        <v>95</v>
      </c>
      <c r="D38" s="196">
        <v>12</v>
      </c>
      <c r="E38" s="895"/>
      <c r="F38" s="190"/>
      <c r="G38" s="191"/>
      <c r="H38" s="192"/>
      <c r="I38" s="193"/>
      <c r="J38" s="277"/>
      <c r="K38" s="193"/>
      <c r="L38" s="277"/>
      <c r="M38" s="897"/>
      <c r="N38" s="187"/>
      <c r="O38" s="194"/>
      <c r="P38" s="196"/>
      <c r="Q38" s="279"/>
      <c r="R38" s="189"/>
      <c r="S38" s="300"/>
      <c r="T38" s="187"/>
      <c r="U38" s="194"/>
      <c r="V38" s="196"/>
      <c r="W38" s="279"/>
      <c r="X38" s="189"/>
      <c r="Y38" s="450"/>
      <c r="Z38" s="189"/>
      <c r="AA38" s="197"/>
    </row>
    <row r="39" spans="1:27" ht="18.95" customHeight="1">
      <c r="A39" s="988" t="s">
        <v>142</v>
      </c>
      <c r="B39" s="400">
        <v>5</v>
      </c>
      <c r="C39" s="188">
        <v>65</v>
      </c>
      <c r="D39" s="196">
        <v>26</v>
      </c>
      <c r="E39" s="895"/>
      <c r="F39" s="190"/>
      <c r="G39" s="191"/>
      <c r="H39" s="192"/>
      <c r="I39" s="193"/>
      <c r="J39" s="277"/>
      <c r="K39" s="193"/>
      <c r="L39" s="277"/>
      <c r="M39" s="897"/>
      <c r="N39" s="187"/>
      <c r="O39" s="194"/>
      <c r="P39" s="196"/>
      <c r="Q39" s="279"/>
      <c r="R39" s="189"/>
      <c r="S39" s="300"/>
      <c r="T39" s="187"/>
      <c r="U39" s="194"/>
      <c r="V39" s="196"/>
      <c r="W39" s="279"/>
      <c r="X39" s="189"/>
      <c r="Y39" s="450"/>
      <c r="Z39" s="189"/>
      <c r="AA39" s="197"/>
    </row>
    <row r="40" spans="1:27" ht="18.95" customHeight="1">
      <c r="A40" s="160" t="s">
        <v>143</v>
      </c>
      <c r="B40" s="400"/>
      <c r="C40" s="188">
        <v>60</v>
      </c>
      <c r="D40" s="196">
        <v>4</v>
      </c>
      <c r="E40" s="895"/>
      <c r="F40" s="190"/>
      <c r="G40" s="191"/>
      <c r="H40" s="192"/>
      <c r="I40" s="193"/>
      <c r="J40" s="277"/>
      <c r="K40" s="193"/>
      <c r="L40" s="277"/>
      <c r="M40" s="897"/>
      <c r="N40" s="187"/>
      <c r="O40" s="194"/>
      <c r="P40" s="196"/>
      <c r="Q40" s="279"/>
      <c r="R40" s="189"/>
      <c r="S40" s="300"/>
      <c r="T40" s="187"/>
      <c r="U40" s="194"/>
      <c r="V40" s="196"/>
      <c r="W40" s="279"/>
      <c r="X40" s="189"/>
      <c r="Y40" s="450"/>
      <c r="Z40" s="189"/>
      <c r="AA40" s="197"/>
    </row>
    <row r="41" spans="1:27" ht="18.95" customHeight="1">
      <c r="A41" s="163" t="s">
        <v>144</v>
      </c>
      <c r="B41" s="903"/>
      <c r="C41" s="904">
        <v>65</v>
      </c>
      <c r="D41" s="325">
        <v>25</v>
      </c>
      <c r="E41" s="892"/>
      <c r="F41" s="318"/>
      <c r="G41" s="319"/>
      <c r="H41" s="320"/>
      <c r="I41" s="321"/>
      <c r="J41" s="322"/>
      <c r="K41" s="321"/>
      <c r="L41" s="322"/>
      <c r="M41" s="893"/>
      <c r="N41" s="323"/>
      <c r="O41" s="324"/>
      <c r="P41" s="325"/>
      <c r="Q41" s="326"/>
      <c r="R41" s="327"/>
      <c r="S41" s="329"/>
      <c r="T41" s="323"/>
      <c r="U41" s="324"/>
      <c r="V41" s="325"/>
      <c r="W41" s="326"/>
      <c r="X41" s="327"/>
      <c r="Y41" s="449"/>
      <c r="Z41" s="327"/>
      <c r="AA41" s="328"/>
    </row>
    <row r="42" spans="1:27" ht="18.95" customHeight="1">
      <c r="A42" s="160" t="s">
        <v>145</v>
      </c>
      <c r="B42" s="400">
        <v>553</v>
      </c>
      <c r="C42" s="188">
        <v>120</v>
      </c>
      <c r="D42" s="196">
        <v>240</v>
      </c>
      <c r="E42" s="895"/>
      <c r="F42" s="190"/>
      <c r="G42" s="191"/>
      <c r="H42" s="192"/>
      <c r="I42" s="193"/>
      <c r="J42" s="277"/>
      <c r="K42" s="193"/>
      <c r="L42" s="277"/>
      <c r="M42" s="897"/>
      <c r="N42" s="187"/>
      <c r="O42" s="194"/>
      <c r="P42" s="196"/>
      <c r="Q42" s="279"/>
      <c r="R42" s="189"/>
      <c r="S42" s="194"/>
      <c r="T42" s="187"/>
      <c r="U42" s="194"/>
      <c r="V42" s="196"/>
      <c r="W42" s="279"/>
      <c r="X42" s="189"/>
      <c r="Y42" s="197"/>
      <c r="Z42" s="189"/>
      <c r="AA42" s="197"/>
    </row>
    <row r="43" spans="1:27" ht="18.95" customHeight="1">
      <c r="A43" s="160" t="s">
        <v>146</v>
      </c>
      <c r="B43" s="400">
        <v>7</v>
      </c>
      <c r="C43" s="188">
        <v>65</v>
      </c>
      <c r="D43" s="196">
        <v>21</v>
      </c>
      <c r="E43" s="895"/>
      <c r="F43" s="256"/>
      <c r="G43" s="257"/>
      <c r="H43" s="258"/>
      <c r="I43" s="259"/>
      <c r="J43" s="260"/>
      <c r="K43" s="259"/>
      <c r="L43" s="260"/>
      <c r="M43" s="897"/>
      <c r="N43" s="253"/>
      <c r="O43" s="262"/>
      <c r="P43" s="263"/>
      <c r="Q43" s="264"/>
      <c r="R43" s="896"/>
      <c r="S43" s="302"/>
      <c r="T43" s="253"/>
      <c r="U43" s="262"/>
      <c r="V43" s="263"/>
      <c r="W43" s="264"/>
      <c r="X43" s="896"/>
      <c r="Y43" s="451"/>
      <c r="Z43" s="255"/>
      <c r="AA43" s="265"/>
    </row>
    <row r="44" spans="1:27" ht="18.95" customHeight="1">
      <c r="A44" s="160" t="s">
        <v>147</v>
      </c>
      <c r="B44" s="400"/>
      <c r="C44" s="188">
        <v>65</v>
      </c>
      <c r="D44" s="196">
        <v>20</v>
      </c>
      <c r="E44" s="895"/>
      <c r="F44" s="190"/>
      <c r="G44" s="191"/>
      <c r="H44" s="192"/>
      <c r="I44" s="193"/>
      <c r="J44" s="277"/>
      <c r="K44" s="193"/>
      <c r="L44" s="277"/>
      <c r="M44" s="897"/>
      <c r="N44" s="187"/>
      <c r="O44" s="194"/>
      <c r="P44" s="196"/>
      <c r="Q44" s="279"/>
      <c r="R44" s="189"/>
      <c r="S44" s="194"/>
      <c r="T44" s="187"/>
      <c r="U44" s="194"/>
      <c r="V44" s="196"/>
      <c r="W44" s="279"/>
      <c r="X44" s="189"/>
      <c r="Y44" s="197"/>
      <c r="Z44" s="189"/>
      <c r="AA44" s="197"/>
    </row>
    <row r="45" spans="1:27" ht="18.95" customHeight="1">
      <c r="A45" s="988" t="s">
        <v>152</v>
      </c>
      <c r="B45" s="400">
        <v>1</v>
      </c>
      <c r="C45" s="188">
        <v>65</v>
      </c>
      <c r="D45" s="196">
        <v>6</v>
      </c>
      <c r="E45" s="895"/>
      <c r="F45" s="190"/>
      <c r="G45" s="191"/>
      <c r="H45" s="192"/>
      <c r="I45" s="193"/>
      <c r="J45" s="277"/>
      <c r="K45" s="193"/>
      <c r="L45" s="277"/>
      <c r="M45" s="897"/>
      <c r="N45" s="187"/>
      <c r="O45" s="194"/>
      <c r="P45" s="196"/>
      <c r="Q45" s="279"/>
      <c r="R45" s="330"/>
      <c r="S45" s="300"/>
      <c r="T45" s="187"/>
      <c r="U45" s="194"/>
      <c r="V45" s="196"/>
      <c r="W45" s="279"/>
      <c r="X45" s="330"/>
      <c r="Y45" s="450"/>
      <c r="Z45" s="189"/>
      <c r="AA45" s="197"/>
    </row>
    <row r="46" spans="1:27" ht="18.95" customHeight="1">
      <c r="A46" s="989" t="s">
        <v>153</v>
      </c>
      <c r="B46" s="903"/>
      <c r="C46" s="904">
        <v>65</v>
      </c>
      <c r="D46" s="325"/>
      <c r="E46" s="892"/>
      <c r="F46" s="318"/>
      <c r="G46" s="319"/>
      <c r="H46" s="320"/>
      <c r="I46" s="321"/>
      <c r="J46" s="322"/>
      <c r="K46" s="321"/>
      <c r="L46" s="322"/>
      <c r="M46" s="893"/>
      <c r="N46" s="323"/>
      <c r="O46" s="324"/>
      <c r="P46" s="325"/>
      <c r="Q46" s="326"/>
      <c r="R46" s="807"/>
      <c r="S46" s="329"/>
      <c r="T46" s="323"/>
      <c r="U46" s="324"/>
      <c r="V46" s="325"/>
      <c r="W46" s="326"/>
      <c r="X46" s="807"/>
      <c r="Y46" s="449"/>
      <c r="Z46" s="327"/>
      <c r="AA46" s="328"/>
    </row>
    <row r="47" spans="1:27" ht="18.95" customHeight="1">
      <c r="A47" s="989" t="s">
        <v>154</v>
      </c>
      <c r="B47" s="903">
        <v>12</v>
      </c>
      <c r="C47" s="904">
        <v>30</v>
      </c>
      <c r="D47" s="325">
        <v>3</v>
      </c>
      <c r="E47" s="892"/>
      <c r="F47" s="318"/>
      <c r="G47" s="319"/>
      <c r="H47" s="320"/>
      <c r="I47" s="321"/>
      <c r="J47" s="322"/>
      <c r="K47" s="321"/>
      <c r="L47" s="322"/>
      <c r="M47" s="893"/>
      <c r="N47" s="323"/>
      <c r="O47" s="324"/>
      <c r="P47" s="325"/>
      <c r="Q47" s="326"/>
      <c r="R47" s="807"/>
      <c r="S47" s="329"/>
      <c r="T47" s="323"/>
      <c r="U47" s="324"/>
      <c r="V47" s="325"/>
      <c r="W47" s="326"/>
      <c r="X47" s="807"/>
      <c r="Y47" s="449"/>
      <c r="Z47" s="327"/>
      <c r="AA47" s="328"/>
    </row>
    <row r="48" spans="1:27" ht="18.95" customHeight="1">
      <c r="A48" s="990" t="s">
        <v>155</v>
      </c>
      <c r="B48" s="400">
        <v>6</v>
      </c>
      <c r="C48" s="188">
        <v>30</v>
      </c>
      <c r="D48" s="196">
        <v>3</v>
      </c>
      <c r="E48" s="895"/>
      <c r="F48" s="190"/>
      <c r="G48" s="191"/>
      <c r="H48" s="192"/>
      <c r="I48" s="193"/>
      <c r="J48" s="277"/>
      <c r="K48" s="193"/>
      <c r="L48" s="277"/>
      <c r="M48" s="897"/>
      <c r="N48" s="187"/>
      <c r="O48" s="194"/>
      <c r="P48" s="196"/>
      <c r="Q48" s="279"/>
      <c r="R48" s="330"/>
      <c r="S48" s="300"/>
      <c r="T48" s="187"/>
      <c r="U48" s="194"/>
      <c r="V48" s="196"/>
      <c r="W48" s="279"/>
      <c r="X48" s="330"/>
      <c r="Y48" s="450"/>
      <c r="Z48" s="189"/>
      <c r="AA48" s="197"/>
    </row>
    <row r="49" spans="1:27" ht="18.95" customHeight="1">
      <c r="A49" s="990" t="s">
        <v>156</v>
      </c>
      <c r="B49" s="400">
        <v>17</v>
      </c>
      <c r="C49" s="188">
        <v>30</v>
      </c>
      <c r="D49" s="196">
        <v>13</v>
      </c>
      <c r="E49" s="895"/>
      <c r="F49" s="190"/>
      <c r="G49" s="191"/>
      <c r="H49" s="192"/>
      <c r="I49" s="193"/>
      <c r="J49" s="277"/>
      <c r="K49" s="193"/>
      <c r="L49" s="277"/>
      <c r="M49" s="897"/>
      <c r="N49" s="187"/>
      <c r="O49" s="194"/>
      <c r="P49" s="196"/>
      <c r="Q49" s="279"/>
      <c r="R49" s="330"/>
      <c r="S49" s="300"/>
      <c r="T49" s="187"/>
      <c r="U49" s="194"/>
      <c r="V49" s="196"/>
      <c r="W49" s="279"/>
      <c r="X49" s="330"/>
      <c r="Y49" s="450"/>
      <c r="Z49" s="189"/>
      <c r="AA49" s="197"/>
    </row>
    <row r="50" spans="1:27" ht="18.95" customHeight="1" thickBot="1">
      <c r="A50" s="990" t="s">
        <v>157</v>
      </c>
      <c r="B50" s="402">
        <v>24</v>
      </c>
      <c r="C50" s="281">
        <v>30</v>
      </c>
      <c r="D50" s="290">
        <v>5</v>
      </c>
      <c r="E50" s="887"/>
      <c r="F50" s="283"/>
      <c r="G50" s="284"/>
      <c r="H50" s="285"/>
      <c r="I50" s="286"/>
      <c r="J50" s="287"/>
      <c r="K50" s="286"/>
      <c r="L50" s="287"/>
      <c r="M50" s="331"/>
      <c r="N50" s="280"/>
      <c r="O50" s="289"/>
      <c r="P50" s="290"/>
      <c r="Q50" s="291"/>
      <c r="R50" s="299"/>
      <c r="S50" s="332"/>
      <c r="T50" s="280"/>
      <c r="U50" s="289"/>
      <c r="V50" s="290"/>
      <c r="W50" s="291"/>
      <c r="X50" s="299"/>
      <c r="Y50" s="786"/>
      <c r="Z50" s="282"/>
      <c r="AA50" s="328"/>
    </row>
    <row r="51" spans="1:27" ht="18.95" customHeight="1">
      <c r="A51" s="266" t="s">
        <v>66</v>
      </c>
      <c r="B51" s="909">
        <f>SUM(B52)</f>
        <v>3876</v>
      </c>
      <c r="C51" s="913">
        <f>SUM(C52)</f>
        <v>92</v>
      </c>
      <c r="D51" s="478">
        <f>SUM(D52)</f>
        <v>92</v>
      </c>
      <c r="E51" s="883"/>
      <c r="F51" s="267"/>
      <c r="G51" s="333"/>
      <c r="H51" s="273"/>
      <c r="I51" s="334"/>
      <c r="J51" s="269"/>
      <c r="K51" s="334"/>
      <c r="L51" s="269"/>
      <c r="M51" s="333"/>
      <c r="N51" s="267"/>
      <c r="O51" s="333"/>
      <c r="P51" s="273"/>
      <c r="Q51" s="334"/>
      <c r="R51" s="334"/>
      <c r="S51" s="333"/>
      <c r="T51" s="267"/>
      <c r="U51" s="333"/>
      <c r="V51" s="273"/>
      <c r="W51" s="334"/>
      <c r="X51" s="334"/>
      <c r="Y51" s="337"/>
      <c r="Z51" s="269"/>
      <c r="AA51" s="337"/>
    </row>
    <row r="52" spans="1:27" ht="18.95" customHeight="1" thickBot="1">
      <c r="A52" s="225" t="s">
        <v>149</v>
      </c>
      <c r="B52" s="402">
        <v>3876</v>
      </c>
      <c r="C52" s="281">
        <v>92</v>
      </c>
      <c r="D52" s="290">
        <v>92</v>
      </c>
      <c r="E52" s="884"/>
      <c r="F52" s="283"/>
      <c r="G52" s="284"/>
      <c r="H52" s="285"/>
      <c r="I52" s="286"/>
      <c r="J52" s="287"/>
      <c r="K52" s="286"/>
      <c r="L52" s="287"/>
      <c r="M52" s="194"/>
      <c r="N52" s="280"/>
      <c r="O52" s="289"/>
      <c r="P52" s="290"/>
      <c r="Q52" s="291"/>
      <c r="R52" s="282"/>
      <c r="S52" s="289"/>
      <c r="T52" s="280"/>
      <c r="U52" s="289"/>
      <c r="V52" s="290"/>
      <c r="W52" s="291"/>
      <c r="X52" s="282"/>
      <c r="Y52" s="292"/>
      <c r="Z52" s="282"/>
      <c r="AA52" s="292"/>
    </row>
    <row r="53" spans="1:27" ht="18.95" customHeight="1">
      <c r="A53" s="266" t="s">
        <v>72</v>
      </c>
      <c r="B53" s="909">
        <f>SUM(B54)</f>
        <v>2011</v>
      </c>
      <c r="C53" s="913">
        <f>SUM(C54)</f>
        <v>80</v>
      </c>
      <c r="D53" s="913">
        <f>SUM(D54)</f>
        <v>85</v>
      </c>
      <c r="E53" s="883"/>
      <c r="F53" s="267"/>
      <c r="G53" s="333"/>
      <c r="H53" s="273"/>
      <c r="I53" s="334"/>
      <c r="J53" s="347"/>
      <c r="K53" s="334"/>
      <c r="L53" s="167"/>
      <c r="M53" s="168"/>
      <c r="N53" s="165"/>
      <c r="O53" s="333"/>
      <c r="P53" s="271"/>
      <c r="Q53" s="333"/>
      <c r="R53" s="271"/>
      <c r="S53" s="333"/>
      <c r="T53" s="165"/>
      <c r="U53" s="333"/>
      <c r="V53" s="271"/>
      <c r="W53" s="333"/>
      <c r="X53" s="271"/>
      <c r="Y53" s="337"/>
      <c r="Z53" s="269"/>
      <c r="AA53" s="337"/>
    </row>
    <row r="54" spans="1:27" ht="18.95" customHeight="1" thickBot="1">
      <c r="A54" s="349" t="s">
        <v>73</v>
      </c>
      <c r="B54" s="409">
        <v>2011</v>
      </c>
      <c r="C54" s="351">
        <v>80</v>
      </c>
      <c r="D54" s="354">
        <v>85</v>
      </c>
      <c r="E54" s="889"/>
      <c r="F54" s="350"/>
      <c r="G54" s="353"/>
      <c r="H54" s="354"/>
      <c r="I54" s="355"/>
      <c r="J54" s="356"/>
      <c r="K54" s="246"/>
      <c r="L54" s="411"/>
      <c r="M54" s="372"/>
      <c r="N54" s="412"/>
      <c r="O54" s="249"/>
      <c r="P54" s="250"/>
      <c r="Q54" s="251"/>
      <c r="R54" s="242"/>
      <c r="S54" s="249"/>
      <c r="T54" s="412"/>
      <c r="U54" s="249"/>
      <c r="V54" s="250"/>
      <c r="W54" s="251"/>
      <c r="X54" s="242"/>
      <c r="Y54" s="252"/>
      <c r="Z54" s="242"/>
      <c r="AA54" s="252"/>
    </row>
    <row r="55" spans="1:27" ht="18.95" customHeight="1">
      <c r="A55" s="266" t="s">
        <v>74</v>
      </c>
      <c r="B55" s="909">
        <f>SUM(B56)</f>
        <v>1075</v>
      </c>
      <c r="C55" s="913">
        <f>SUM(C56)</f>
        <v>40</v>
      </c>
      <c r="D55" s="913">
        <f>SUM(D56)</f>
        <v>40</v>
      </c>
      <c r="E55" s="883"/>
      <c r="F55" s="232"/>
      <c r="G55" s="358"/>
      <c r="H55" s="271"/>
      <c r="I55" s="359"/>
      <c r="J55" s="269"/>
      <c r="K55" s="360"/>
      <c r="L55" s="361"/>
      <c r="M55" s="168"/>
      <c r="N55" s="267"/>
      <c r="O55" s="269"/>
      <c r="P55" s="271"/>
      <c r="Q55" s="359"/>
      <c r="R55" s="269"/>
      <c r="S55" s="336"/>
      <c r="T55" s="267"/>
      <c r="U55" s="269"/>
      <c r="V55" s="271"/>
      <c r="W55" s="359"/>
      <c r="X55" s="269"/>
      <c r="Y55" s="348"/>
      <c r="Z55" s="269"/>
      <c r="AA55" s="348"/>
    </row>
    <row r="56" spans="1:27" ht="18.95" customHeight="1" thickBot="1">
      <c r="A56" s="362" t="s">
        <v>75</v>
      </c>
      <c r="B56" s="413">
        <v>1075</v>
      </c>
      <c r="C56" s="364">
        <v>40</v>
      </c>
      <c r="D56" s="375">
        <v>40</v>
      </c>
      <c r="E56" s="890"/>
      <c r="F56" s="366"/>
      <c r="G56" s="367"/>
      <c r="H56" s="368"/>
      <c r="I56" s="369"/>
      <c r="J56" s="370"/>
      <c r="K56" s="371"/>
      <c r="L56" s="370"/>
      <c r="M56" s="357"/>
      <c r="N56" s="366"/>
      <c r="O56" s="367"/>
      <c r="P56" s="368"/>
      <c r="Q56" s="369"/>
      <c r="R56" s="365"/>
      <c r="S56" s="372"/>
      <c r="T56" s="366"/>
      <c r="U56" s="367"/>
      <c r="V56" s="368"/>
      <c r="W56" s="369"/>
      <c r="X56" s="365"/>
      <c r="Y56" s="357"/>
      <c r="Z56" s="365"/>
      <c r="AA56" s="357"/>
    </row>
    <row r="57" spans="1:27" ht="18.95" customHeight="1">
      <c r="A57" s="266" t="s">
        <v>125</v>
      </c>
      <c r="B57" s="909">
        <f>SUM(B58:B60)</f>
        <v>1727</v>
      </c>
      <c r="C57" s="913">
        <f>SUM(C58:C60)</f>
        <v>210</v>
      </c>
      <c r="D57" s="913">
        <f>SUM(D58:D60)</f>
        <v>396</v>
      </c>
      <c r="E57" s="883"/>
      <c r="F57" s="232"/>
      <c r="G57" s="358"/>
      <c r="H57" s="271"/>
      <c r="I57" s="359"/>
      <c r="J57" s="269"/>
      <c r="K57" s="360"/>
      <c r="L57" s="361"/>
      <c r="M57" s="168"/>
      <c r="N57" s="267"/>
      <c r="O57" s="269"/>
      <c r="P57" s="271"/>
      <c r="Q57" s="359"/>
      <c r="R57" s="269"/>
      <c r="S57" s="336"/>
      <c r="T57" s="267"/>
      <c r="U57" s="269"/>
      <c r="V57" s="271"/>
      <c r="W57" s="359"/>
      <c r="X57" s="269"/>
      <c r="Y57" s="348"/>
      <c r="Z57" s="269"/>
      <c r="AA57" s="348"/>
    </row>
    <row r="58" spans="1:27" ht="18.95" customHeight="1">
      <c r="A58" s="902" t="s">
        <v>126</v>
      </c>
      <c r="B58" s="915">
        <v>1720</v>
      </c>
      <c r="C58" s="916"/>
      <c r="D58" s="142">
        <v>386</v>
      </c>
      <c r="E58" s="880"/>
      <c r="F58" s="217"/>
      <c r="G58" s="218"/>
      <c r="H58" s="219"/>
      <c r="I58" s="220"/>
      <c r="J58" s="221"/>
      <c r="K58" s="220"/>
      <c r="L58" s="221"/>
      <c r="M58" s="194"/>
      <c r="N58" s="214"/>
      <c r="O58" s="143"/>
      <c r="P58" s="223"/>
      <c r="Q58" s="141"/>
      <c r="R58" s="216"/>
      <c r="S58" s="143"/>
      <c r="T58" s="214"/>
      <c r="U58" s="143"/>
      <c r="V58" s="223"/>
      <c r="W58" s="141"/>
      <c r="X58" s="216"/>
      <c r="Y58" s="224"/>
      <c r="Z58" s="216"/>
      <c r="AA58" s="224"/>
    </row>
    <row r="59" spans="1:27" ht="18.95" customHeight="1">
      <c r="A59" s="902" t="s">
        <v>127</v>
      </c>
      <c r="B59" s="915">
        <v>4</v>
      </c>
      <c r="C59" s="916">
        <v>120</v>
      </c>
      <c r="D59" s="142">
        <v>6</v>
      </c>
      <c r="E59" s="880"/>
      <c r="F59" s="342"/>
      <c r="G59" s="343"/>
      <c r="H59" s="344"/>
      <c r="I59" s="345"/>
      <c r="J59" s="346"/>
      <c r="K59" s="345"/>
      <c r="L59" s="346"/>
      <c r="M59" s="194"/>
      <c r="N59" s="136"/>
      <c r="O59" s="137"/>
      <c r="P59" s="142"/>
      <c r="Q59" s="144"/>
      <c r="R59" s="145"/>
      <c r="S59" s="143"/>
      <c r="T59" s="136"/>
      <c r="U59" s="137"/>
      <c r="V59" s="142"/>
      <c r="W59" s="144"/>
      <c r="X59" s="145"/>
      <c r="Y59" s="224"/>
      <c r="Z59" s="145"/>
      <c r="AA59" s="224"/>
    </row>
    <row r="60" spans="1:27" ht="18.95" customHeight="1" thickBot="1">
      <c r="A60" s="902" t="s">
        <v>128</v>
      </c>
      <c r="B60" s="903">
        <v>3</v>
      </c>
      <c r="C60" s="904">
        <v>90</v>
      </c>
      <c r="D60" s="129">
        <v>4</v>
      </c>
      <c r="E60" s="888"/>
      <c r="F60" s="435"/>
      <c r="G60" s="869"/>
      <c r="H60" s="437"/>
      <c r="I60" s="436"/>
      <c r="J60" s="898"/>
      <c r="K60" s="436"/>
      <c r="L60" s="898"/>
      <c r="M60" s="324"/>
      <c r="N60" s="123"/>
      <c r="O60" s="124"/>
      <c r="P60" s="129"/>
      <c r="Q60" s="210"/>
      <c r="R60" s="211"/>
      <c r="S60" s="208"/>
      <c r="T60" s="123"/>
      <c r="U60" s="124"/>
      <c r="V60" s="129"/>
      <c r="W60" s="210"/>
      <c r="X60" s="211"/>
      <c r="Y60" s="212"/>
      <c r="Z60" s="211"/>
      <c r="AA60" s="131"/>
    </row>
    <row r="61" spans="1:27" s="15" customFormat="1" ht="18" customHeight="1" thickBot="1">
      <c r="A61" s="415" t="s">
        <v>76</v>
      </c>
      <c r="B61" s="416">
        <f>SUM(B7,B15,B18,B23,B51,B53,B55,B57)</f>
        <v>18297</v>
      </c>
      <c r="C61" s="378">
        <f>SUM(C7,C15,C18,C23,C51,C53,C55,C57)</f>
        <v>3312</v>
      </c>
      <c r="D61" s="381">
        <f>SUM(D7,D15,D18,D23,D51,D53,D55,D57)</f>
        <v>4182</v>
      </c>
      <c r="E61" s="891"/>
      <c r="F61" s="377"/>
      <c r="G61" s="380"/>
      <c r="H61" s="381"/>
      <c r="I61" s="382"/>
      <c r="J61" s="379"/>
      <c r="K61" s="382"/>
      <c r="L61" s="379"/>
      <c r="M61" s="383"/>
      <c r="N61" s="377"/>
      <c r="O61" s="380"/>
      <c r="P61" s="381"/>
      <c r="Q61" s="382"/>
      <c r="R61" s="379"/>
      <c r="S61" s="380"/>
      <c r="T61" s="377"/>
      <c r="U61" s="380"/>
      <c r="V61" s="381"/>
      <c r="W61" s="382"/>
      <c r="X61" s="379"/>
      <c r="Y61" s="987"/>
      <c r="Z61" s="306"/>
      <c r="AA61" s="419"/>
    </row>
    <row r="62" spans="1:27" ht="192.75" customHeight="1">
      <c r="A62" s="927" t="s">
        <v>158</v>
      </c>
      <c r="B62" s="927"/>
      <c r="C62" s="927"/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7"/>
      <c r="Y62" s="927"/>
      <c r="Z62" s="927"/>
      <c r="AA62" s="927"/>
    </row>
    <row r="63" spans="1:27" ht="24">
      <c r="A63" s="16" t="s">
        <v>77</v>
      </c>
      <c r="R63" s="874"/>
      <c r="X63" s="874" t="s">
        <v>165</v>
      </c>
      <c r="AA63" s="22"/>
    </row>
  </sheetData>
  <mergeCells count="22">
    <mergeCell ref="E3:E6"/>
    <mergeCell ref="A62:AA62"/>
    <mergeCell ref="A1:AA1"/>
    <mergeCell ref="A3:A6"/>
    <mergeCell ref="B3:B6"/>
    <mergeCell ref="C3:C6"/>
    <mergeCell ref="D3:D6"/>
    <mergeCell ref="L3:M5"/>
    <mergeCell ref="Z3:AA5"/>
    <mergeCell ref="F5:G5"/>
    <mergeCell ref="H5:I5"/>
    <mergeCell ref="J5:K5"/>
    <mergeCell ref="N5:O5"/>
    <mergeCell ref="F3:K4"/>
    <mergeCell ref="N4:S4"/>
    <mergeCell ref="T4:Y4"/>
    <mergeCell ref="N3:Y3"/>
    <mergeCell ref="P5:Q5"/>
    <mergeCell ref="T5:U5"/>
    <mergeCell ref="V5:W5"/>
    <mergeCell ref="X5:Y5"/>
    <mergeCell ref="R5:S5"/>
  </mergeCells>
  <pageMargins left="0.55118110236220474" right="0.59055118110236227" top="0.51181102362204722" bottom="0.31496062992125984" header="0.31496062992125984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57"/>
  <sheetViews>
    <sheetView view="pageBreakPreview" zoomScaleNormal="115" zoomScaleSheetLayoutView="100" workbookViewId="0">
      <pane ySplit="5" topLeftCell="A42" activePane="bottomLeft" state="frozen"/>
      <selection pane="bottomLeft" activeCell="A56" sqref="A56:T56"/>
    </sheetView>
  </sheetViews>
  <sheetFormatPr defaultColWidth="8.85546875" defaultRowHeight="15"/>
  <cols>
    <col min="1" max="1" width="33.28515625" style="20" customWidth="1"/>
    <col min="2" max="2" width="9.85546875" style="17" customWidth="1"/>
    <col min="3" max="3" width="9.140625" style="17" customWidth="1"/>
    <col min="4" max="4" width="10" style="17" customWidth="1"/>
    <col min="5" max="5" width="5.85546875" style="17" customWidth="1"/>
    <col min="6" max="6" width="7.85546875" style="18" customWidth="1"/>
    <col min="7" max="7" width="5.5703125" style="19" customWidth="1"/>
    <col min="8" max="8" width="8.140625" style="18" customWidth="1"/>
    <col min="9" max="9" width="5.5703125" style="17" customWidth="1"/>
    <col min="10" max="10" width="7.7109375" style="18" customWidth="1"/>
    <col min="11" max="11" width="8.28515625" style="19" customWidth="1"/>
    <col min="12" max="12" width="7.7109375" style="18" customWidth="1"/>
    <col min="13" max="13" width="5.42578125" style="19" customWidth="1"/>
    <col min="14" max="14" width="8.140625" style="18" customWidth="1"/>
    <col min="15" max="15" width="5.140625" style="19" customWidth="1"/>
    <col min="16" max="16" width="8" style="18" customWidth="1"/>
    <col min="17" max="17" width="5.140625" style="19" customWidth="1"/>
    <col min="18" max="18" width="7.7109375" style="18" customWidth="1"/>
    <col min="19" max="19" width="8.140625" style="19" customWidth="1"/>
    <col min="20" max="20" width="7.7109375" style="18" customWidth="1"/>
    <col min="21" max="16384" width="8.85546875" style="1"/>
  </cols>
  <sheetData>
    <row r="1" spans="1:20" ht="25.9" customHeight="1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</row>
    <row r="2" spans="1:20" ht="23.25" customHeight="1" thickBot="1">
      <c r="A2" s="2" t="s">
        <v>1</v>
      </c>
      <c r="B2" s="3"/>
      <c r="C2" s="3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</row>
    <row r="3" spans="1:20" ht="43.15" customHeight="1">
      <c r="A3" s="921" t="s">
        <v>2</v>
      </c>
      <c r="B3" s="931" t="s">
        <v>3</v>
      </c>
      <c r="C3" s="933" t="s">
        <v>4</v>
      </c>
      <c r="D3" s="948" t="s">
        <v>5</v>
      </c>
      <c r="E3" s="921" t="s">
        <v>6</v>
      </c>
      <c r="F3" s="922"/>
      <c r="G3" s="922"/>
      <c r="H3" s="922"/>
      <c r="I3" s="922"/>
      <c r="J3" s="945"/>
      <c r="K3" s="937" t="s">
        <v>7</v>
      </c>
      <c r="L3" s="923"/>
      <c r="M3" s="922" t="s">
        <v>78</v>
      </c>
      <c r="N3" s="922"/>
      <c r="O3" s="922"/>
      <c r="P3" s="922"/>
      <c r="Q3" s="922"/>
      <c r="R3" s="922"/>
      <c r="S3" s="937" t="s">
        <v>7</v>
      </c>
      <c r="T3" s="923"/>
    </row>
    <row r="4" spans="1:20" ht="19.5" customHeight="1">
      <c r="A4" s="929"/>
      <c r="B4" s="932"/>
      <c r="C4" s="934"/>
      <c r="D4" s="949"/>
      <c r="E4" s="944" t="s">
        <v>8</v>
      </c>
      <c r="F4" s="926"/>
      <c r="G4" s="924" t="s">
        <v>9</v>
      </c>
      <c r="H4" s="925"/>
      <c r="I4" s="926" t="s">
        <v>10</v>
      </c>
      <c r="J4" s="925"/>
      <c r="K4" s="940"/>
      <c r="L4" s="941"/>
      <c r="M4" s="944" t="s">
        <v>8</v>
      </c>
      <c r="N4" s="926"/>
      <c r="O4" s="924" t="s">
        <v>9</v>
      </c>
      <c r="P4" s="925"/>
      <c r="Q4" s="926" t="s">
        <v>10</v>
      </c>
      <c r="R4" s="925"/>
      <c r="S4" s="940"/>
      <c r="T4" s="941"/>
    </row>
    <row r="5" spans="1:20" ht="56.25" customHeight="1" thickBot="1">
      <c r="A5" s="930"/>
      <c r="B5" s="932"/>
      <c r="C5" s="934"/>
      <c r="D5" s="949"/>
      <c r="E5" s="5" t="s">
        <v>11</v>
      </c>
      <c r="F5" s="6" t="s">
        <v>12</v>
      </c>
      <c r="G5" s="7" t="s">
        <v>13</v>
      </c>
      <c r="H5" s="8" t="s">
        <v>14</v>
      </c>
      <c r="I5" s="9" t="s">
        <v>15</v>
      </c>
      <c r="J5" s="8" t="s">
        <v>16</v>
      </c>
      <c r="K5" s="10" t="s">
        <v>17</v>
      </c>
      <c r="L5" s="8" t="s">
        <v>18</v>
      </c>
      <c r="M5" s="5" t="s">
        <v>19</v>
      </c>
      <c r="N5" s="6" t="s">
        <v>20</v>
      </c>
      <c r="O5" s="7" t="s">
        <v>21</v>
      </c>
      <c r="P5" s="8" t="s">
        <v>22</v>
      </c>
      <c r="Q5" s="9" t="s">
        <v>23</v>
      </c>
      <c r="R5" s="6" t="s">
        <v>24</v>
      </c>
      <c r="S5" s="11" t="s">
        <v>25</v>
      </c>
      <c r="T5" s="12" t="s">
        <v>26</v>
      </c>
    </row>
    <row r="6" spans="1:20" ht="18.95" customHeight="1">
      <c r="A6" s="266" t="s">
        <v>27</v>
      </c>
      <c r="B6" s="385">
        <f>SUM(B7,B9:B13)</f>
        <v>898</v>
      </c>
      <c r="C6" s="166">
        <f t="shared" ref="C6:D6" si="0">SUM(C7,C9:C13)</f>
        <v>180</v>
      </c>
      <c r="D6" s="386">
        <f t="shared" si="0"/>
        <v>96</v>
      </c>
      <c r="E6" s="165">
        <f>SUM(E7:E8)</f>
        <v>55</v>
      </c>
      <c r="F6" s="168">
        <f>E6/K6*100</f>
        <v>63.953488372093027</v>
      </c>
      <c r="G6" s="169">
        <f>SUM(G7:G8)</f>
        <v>3</v>
      </c>
      <c r="H6" s="170">
        <f t="shared" ref="H6" si="1">G6/K6*100</f>
        <v>3.4883720930232558</v>
      </c>
      <c r="I6" s="167">
        <f>SUM(I7:I8)</f>
        <v>28</v>
      </c>
      <c r="J6" s="170">
        <f t="shared" ref="J6" si="2">I6/K6*100</f>
        <v>32.558139534883722</v>
      </c>
      <c r="K6" s="167">
        <f>SUM(K7:K8)</f>
        <v>86</v>
      </c>
      <c r="L6" s="168">
        <f>+K6/D6*100</f>
        <v>89.583333333333343</v>
      </c>
      <c r="M6" s="165">
        <f>SUM(M7:M8)</f>
        <v>2</v>
      </c>
      <c r="N6" s="168">
        <f>M6/E6*100</f>
        <v>3.6363636363636362</v>
      </c>
      <c r="O6" s="169">
        <f>SUM(O7:O8)</f>
        <v>0</v>
      </c>
      <c r="P6" s="170">
        <f t="shared" ref="P6" si="3">O6/G6*100</f>
        <v>0</v>
      </c>
      <c r="Q6" s="167">
        <f>SUM(Q7:Q8)</f>
        <v>3</v>
      </c>
      <c r="R6" s="168">
        <f>Q6/I6*100</f>
        <v>10.714285714285714</v>
      </c>
      <c r="S6" s="169">
        <f>SUM(S7:S8)</f>
        <v>5</v>
      </c>
      <c r="T6" s="171">
        <f>S6/K6*100</f>
        <v>5.8139534883720927</v>
      </c>
    </row>
    <row r="7" spans="1:20" ht="18.95" customHeight="1">
      <c r="A7" s="225" t="s">
        <v>28</v>
      </c>
      <c r="B7" s="387">
        <f>384+12+13+15+1+1</f>
        <v>426</v>
      </c>
      <c r="C7" s="241">
        <v>60</v>
      </c>
      <c r="D7" s="388">
        <f>66+3</f>
        <v>69</v>
      </c>
      <c r="E7" s="243">
        <v>55</v>
      </c>
      <c r="F7" s="244">
        <f>E7/K7*100</f>
        <v>91.666666666666657</v>
      </c>
      <c r="G7" s="245">
        <v>3</v>
      </c>
      <c r="H7" s="246">
        <f>G7/K7*100</f>
        <v>5</v>
      </c>
      <c r="I7" s="247">
        <v>2</v>
      </c>
      <c r="J7" s="246">
        <f>I7/K7*100</f>
        <v>3.3333333333333335</v>
      </c>
      <c r="K7" s="247">
        <f>SUM(I7,E7,G7)</f>
        <v>60</v>
      </c>
      <c r="L7" s="389">
        <f>+K7/D7*100</f>
        <v>86.956521739130437</v>
      </c>
      <c r="M7" s="240">
        <v>2</v>
      </c>
      <c r="N7" s="249">
        <f>M7/E7*100</f>
        <v>3.6363636363636362</v>
      </c>
      <c r="O7" s="250">
        <v>0</v>
      </c>
      <c r="P7" s="251">
        <v>0</v>
      </c>
      <c r="Q7" s="242">
        <v>0</v>
      </c>
      <c r="R7" s="249">
        <v>0</v>
      </c>
      <c r="S7" s="250">
        <f>SUM(M7,O7,Q7)</f>
        <v>2</v>
      </c>
      <c r="T7" s="252">
        <f>S7/K7*100</f>
        <v>3.3333333333333335</v>
      </c>
    </row>
    <row r="8" spans="1:20" ht="18.95" customHeight="1">
      <c r="A8" s="186" t="s">
        <v>29</v>
      </c>
      <c r="B8" s="187">
        <f>SUM(B9)</f>
        <v>472</v>
      </c>
      <c r="C8" s="188">
        <f t="shared" ref="C8:D8" si="4">SUM(C9)</f>
        <v>120</v>
      </c>
      <c r="D8" s="390">
        <f t="shared" si="4"/>
        <v>27</v>
      </c>
      <c r="E8" s="190" t="s">
        <v>102</v>
      </c>
      <c r="F8" s="191" t="s">
        <v>102</v>
      </c>
      <c r="G8" s="192" t="s">
        <v>102</v>
      </c>
      <c r="H8" s="193" t="s">
        <v>102</v>
      </c>
      <c r="I8" s="189">
        <f>SUM(I9:I13)</f>
        <v>26</v>
      </c>
      <c r="J8" s="193">
        <f>I8/K8*100</f>
        <v>100</v>
      </c>
      <c r="K8" s="189">
        <f>SUM(K9:K13)</f>
        <v>26</v>
      </c>
      <c r="L8" s="220">
        <f t="shared" ref="L8:L13" si="5">+K8/$D$9*100</f>
        <v>96.296296296296291</v>
      </c>
      <c r="M8" s="187" t="s">
        <v>102</v>
      </c>
      <c r="N8" s="195" t="s">
        <v>102</v>
      </c>
      <c r="O8" s="196" t="s">
        <v>102</v>
      </c>
      <c r="P8" s="195" t="s">
        <v>102</v>
      </c>
      <c r="Q8" s="189">
        <f>SUM(Q9:Q13)</f>
        <v>3</v>
      </c>
      <c r="R8" s="262">
        <f>Q8/I8*100</f>
        <v>11.538461538461538</v>
      </c>
      <c r="S8" s="391">
        <f>SUM(S9:S13)</f>
        <v>3</v>
      </c>
      <c r="T8" s="197">
        <f>S8/K8*100</f>
        <v>11.538461538461538</v>
      </c>
    </row>
    <row r="9" spans="1:20" ht="18.95" customHeight="1">
      <c r="A9" s="198" t="s">
        <v>30</v>
      </c>
      <c r="B9" s="136">
        <v>472</v>
      </c>
      <c r="C9" s="341">
        <v>120</v>
      </c>
      <c r="D9" s="431">
        <v>27</v>
      </c>
      <c r="E9" s="217" t="s">
        <v>102</v>
      </c>
      <c r="F9" s="218" t="s">
        <v>102</v>
      </c>
      <c r="G9" s="219" t="s">
        <v>102</v>
      </c>
      <c r="H9" s="220" t="s">
        <v>102</v>
      </c>
      <c r="I9" s="206">
        <v>17</v>
      </c>
      <c r="J9" s="205">
        <f t="shared" ref="J9:J14" si="6">I9/K9*100</f>
        <v>100</v>
      </c>
      <c r="K9" s="206">
        <f t="shared" ref="K9:K13" si="7">SUM(I9,E9,G9)</f>
        <v>17</v>
      </c>
      <c r="L9" s="205">
        <f>+K9/$D$9*100</f>
        <v>62.962962962962962</v>
      </c>
      <c r="M9" s="214" t="s">
        <v>102</v>
      </c>
      <c r="N9" s="143" t="s">
        <v>102</v>
      </c>
      <c r="O9" s="223" t="s">
        <v>102</v>
      </c>
      <c r="P9" s="141" t="s">
        <v>102</v>
      </c>
      <c r="Q9" s="211">
        <v>2</v>
      </c>
      <c r="R9" s="141">
        <f>Q9/I9*100</f>
        <v>11.76470588235294</v>
      </c>
      <c r="S9" s="209">
        <f t="shared" ref="S9:S10" si="8">SUM(M9,O9,Q9)</f>
        <v>2</v>
      </c>
      <c r="T9" s="212">
        <f t="shared" ref="T9:T10" si="9">S9/K9*100</f>
        <v>11.76470588235294</v>
      </c>
    </row>
    <row r="10" spans="1:20" ht="18.95" customHeight="1">
      <c r="A10" s="213" t="s">
        <v>31</v>
      </c>
      <c r="B10" s="392"/>
      <c r="C10" s="226"/>
      <c r="D10" s="393"/>
      <c r="E10" s="202"/>
      <c r="F10" s="203"/>
      <c r="G10" s="204"/>
      <c r="H10" s="205"/>
      <c r="I10" s="221">
        <v>2</v>
      </c>
      <c r="J10" s="220">
        <f t="shared" si="6"/>
        <v>100</v>
      </c>
      <c r="K10" s="221">
        <f t="shared" si="7"/>
        <v>2</v>
      </c>
      <c r="L10" s="858">
        <f t="shared" si="5"/>
        <v>7.4074074074074066</v>
      </c>
      <c r="M10" s="207"/>
      <c r="N10" s="208"/>
      <c r="O10" s="209"/>
      <c r="P10" s="210"/>
      <c r="Q10" s="157">
        <v>1</v>
      </c>
      <c r="R10" s="151">
        <f>Q10/I10*100</f>
        <v>50</v>
      </c>
      <c r="S10" s="156">
        <f t="shared" si="8"/>
        <v>1</v>
      </c>
      <c r="T10" s="158">
        <f t="shared" si="9"/>
        <v>50</v>
      </c>
    </row>
    <row r="11" spans="1:20" ht="18.95" customHeight="1">
      <c r="A11" s="213" t="s">
        <v>32</v>
      </c>
      <c r="B11" s="392"/>
      <c r="C11" s="226"/>
      <c r="D11" s="393"/>
      <c r="E11" s="202"/>
      <c r="F11" s="203"/>
      <c r="G11" s="204"/>
      <c r="H11" s="205"/>
      <c r="I11" s="221">
        <v>1</v>
      </c>
      <c r="J11" s="220">
        <f t="shared" si="6"/>
        <v>100</v>
      </c>
      <c r="K11" s="221">
        <f t="shared" si="7"/>
        <v>1</v>
      </c>
      <c r="L11" s="205">
        <f t="shared" si="5"/>
        <v>3.7037037037037033</v>
      </c>
      <c r="M11" s="207"/>
      <c r="N11" s="208"/>
      <c r="O11" s="209"/>
      <c r="P11" s="210"/>
      <c r="Q11" s="209"/>
      <c r="R11" s="208"/>
      <c r="S11" s="209"/>
      <c r="T11" s="212"/>
    </row>
    <row r="12" spans="1:20" ht="18.95" customHeight="1">
      <c r="A12" s="213" t="s">
        <v>33</v>
      </c>
      <c r="B12" s="392"/>
      <c r="C12" s="226"/>
      <c r="D12" s="393"/>
      <c r="E12" s="202"/>
      <c r="F12" s="203"/>
      <c r="G12" s="204"/>
      <c r="H12" s="205"/>
      <c r="I12" s="221">
        <v>3</v>
      </c>
      <c r="J12" s="220">
        <f t="shared" si="6"/>
        <v>100</v>
      </c>
      <c r="K12" s="221">
        <f t="shared" si="7"/>
        <v>3</v>
      </c>
      <c r="L12" s="858">
        <f t="shared" si="5"/>
        <v>11.111111111111111</v>
      </c>
      <c r="M12" s="207"/>
      <c r="N12" s="208"/>
      <c r="O12" s="209"/>
      <c r="P12" s="210"/>
      <c r="Q12" s="209"/>
      <c r="R12" s="208"/>
      <c r="S12" s="209"/>
      <c r="T12" s="212"/>
    </row>
    <row r="13" spans="1:20" ht="18.95" customHeight="1" thickBot="1">
      <c r="A13" s="225" t="s">
        <v>34</v>
      </c>
      <c r="B13" s="392"/>
      <c r="C13" s="226"/>
      <c r="D13" s="393"/>
      <c r="E13" s="202"/>
      <c r="F13" s="203"/>
      <c r="G13" s="204"/>
      <c r="H13" s="205"/>
      <c r="I13" s="206">
        <v>3</v>
      </c>
      <c r="J13" s="205">
        <f t="shared" si="6"/>
        <v>100</v>
      </c>
      <c r="K13" s="206">
        <f t="shared" si="7"/>
        <v>3</v>
      </c>
      <c r="L13" s="205">
        <f t="shared" si="5"/>
        <v>11.111111111111111</v>
      </c>
      <c r="M13" s="207"/>
      <c r="N13" s="208"/>
      <c r="O13" s="209"/>
      <c r="P13" s="210"/>
      <c r="Q13" s="211"/>
      <c r="R13" s="208"/>
      <c r="S13" s="209"/>
      <c r="T13" s="212"/>
    </row>
    <row r="14" spans="1:20" ht="18.95" customHeight="1">
      <c r="A14" s="228" t="s">
        <v>35</v>
      </c>
      <c r="B14" s="394">
        <f>SUM(B15:B16)</f>
        <v>2071</v>
      </c>
      <c r="C14" s="230">
        <f t="shared" ref="C14:S14" si="10">SUM(C15:C16)</f>
        <v>290</v>
      </c>
      <c r="D14" s="395">
        <f t="shared" si="10"/>
        <v>336</v>
      </c>
      <c r="E14" s="232">
        <f>SUM(E15:E16)</f>
        <v>205</v>
      </c>
      <c r="F14" s="233">
        <f t="shared" ref="F14" si="11">E14/K14*100</f>
        <v>65.286624203821646</v>
      </c>
      <c r="G14" s="234">
        <f t="shared" si="10"/>
        <v>69</v>
      </c>
      <c r="H14" s="235">
        <f t="shared" ref="H14" si="12">G14/K14*100</f>
        <v>21.97452229299363</v>
      </c>
      <c r="I14" s="231">
        <f t="shared" si="10"/>
        <v>40</v>
      </c>
      <c r="J14" s="235">
        <f t="shared" si="6"/>
        <v>12.738853503184714</v>
      </c>
      <c r="K14" s="231">
        <f t="shared" si="10"/>
        <v>314</v>
      </c>
      <c r="L14" s="236">
        <f>+K14/D14*100</f>
        <v>93.452380952380949</v>
      </c>
      <c r="M14" s="165">
        <f t="shared" si="10"/>
        <v>9</v>
      </c>
      <c r="N14" s="233">
        <f>M14/E14*100</f>
        <v>4.3902439024390238</v>
      </c>
      <c r="O14" s="169">
        <f t="shared" si="10"/>
        <v>4</v>
      </c>
      <c r="P14" s="237">
        <f>+O14/G14*100</f>
        <v>5.7971014492753623</v>
      </c>
      <c r="Q14" s="167">
        <f t="shared" si="10"/>
        <v>5</v>
      </c>
      <c r="R14" s="233">
        <f>+Q14/I14*100</f>
        <v>12.5</v>
      </c>
      <c r="S14" s="234">
        <f t="shared" si="10"/>
        <v>18</v>
      </c>
      <c r="T14" s="238">
        <f t="shared" ref="T14" si="13">S14/K14*100</f>
        <v>5.7324840764331215</v>
      </c>
    </row>
    <row r="15" spans="1:20" ht="18.95" customHeight="1">
      <c r="A15" s="239" t="s">
        <v>36</v>
      </c>
      <c r="B15" s="387">
        <f>467+12+182+60+30+1</f>
        <v>752</v>
      </c>
      <c r="C15" s="241">
        <v>200</v>
      </c>
      <c r="D15" s="388">
        <f>124+39+30</f>
        <v>193</v>
      </c>
      <c r="E15" s="243">
        <v>116</v>
      </c>
      <c r="F15" s="244">
        <f t="shared" ref="F15:F17" si="14">E15/K15*100</f>
        <v>63.04347826086957</v>
      </c>
      <c r="G15" s="245">
        <v>36</v>
      </c>
      <c r="H15" s="246">
        <f t="shared" ref="H15:H17" si="15">G15/K15*100</f>
        <v>19.565217391304348</v>
      </c>
      <c r="I15" s="247">
        <v>32</v>
      </c>
      <c r="J15" s="246">
        <f t="shared" ref="J15:J17" si="16">I15/K15*100</f>
        <v>17.391304347826086</v>
      </c>
      <c r="K15" s="247">
        <f t="shared" ref="K15:K16" si="17">SUM(I15,E15,G15)</f>
        <v>184</v>
      </c>
      <c r="L15" s="252">
        <f>+K15/D15*100</f>
        <v>95.336787564766837</v>
      </c>
      <c r="M15" s="240">
        <v>8</v>
      </c>
      <c r="N15" s="249">
        <f t="shared" ref="N15:N17" si="18">M15/E15*100</f>
        <v>6.8965517241379306</v>
      </c>
      <c r="O15" s="250">
        <v>3</v>
      </c>
      <c r="P15" s="251">
        <f>O15/G15*100</f>
        <v>8.3333333333333321</v>
      </c>
      <c r="Q15" s="242">
        <v>5</v>
      </c>
      <c r="R15" s="249">
        <f>Q15/I15*100</f>
        <v>15.625</v>
      </c>
      <c r="S15" s="250">
        <f t="shared" ref="S15:S17" si="19">SUM(M15,O15,Q15)</f>
        <v>16</v>
      </c>
      <c r="T15" s="252">
        <f t="shared" ref="T15:T17" si="20">S15/K15*100</f>
        <v>8.695652173913043</v>
      </c>
    </row>
    <row r="16" spans="1:20" ht="18.95" customHeight="1" thickBot="1">
      <c r="A16" s="198" t="s">
        <v>37</v>
      </c>
      <c r="B16" s="396">
        <f>1162+19+88+45+4+1</f>
        <v>1319</v>
      </c>
      <c r="C16" s="254">
        <v>90</v>
      </c>
      <c r="D16" s="397">
        <f>107+35+1</f>
        <v>143</v>
      </c>
      <c r="E16" s="256">
        <v>89</v>
      </c>
      <c r="F16" s="257">
        <f t="shared" si="14"/>
        <v>68.461538461538467</v>
      </c>
      <c r="G16" s="258">
        <v>33</v>
      </c>
      <c r="H16" s="259">
        <f t="shared" si="15"/>
        <v>25.384615384615383</v>
      </c>
      <c r="I16" s="260">
        <v>8</v>
      </c>
      <c r="J16" s="259">
        <f t="shared" si="16"/>
        <v>6.1538461538461542</v>
      </c>
      <c r="K16" s="260">
        <f t="shared" si="17"/>
        <v>130</v>
      </c>
      <c r="L16" s="265">
        <f>+K16/D16*100</f>
        <v>90.909090909090907</v>
      </c>
      <c r="M16" s="253">
        <v>1</v>
      </c>
      <c r="N16" s="262">
        <f t="shared" si="18"/>
        <v>1.1235955056179776</v>
      </c>
      <c r="O16" s="263">
        <v>1</v>
      </c>
      <c r="P16" s="264">
        <f>O16/G16*100</f>
        <v>3.0303030303030303</v>
      </c>
      <c r="Q16" s="255"/>
      <c r="R16" s="262"/>
      <c r="S16" s="263">
        <f t="shared" si="19"/>
        <v>2</v>
      </c>
      <c r="T16" s="265">
        <f t="shared" si="20"/>
        <v>1.5384615384615385</v>
      </c>
    </row>
    <row r="17" spans="1:20" ht="18.95" customHeight="1">
      <c r="A17" s="266" t="s">
        <v>38</v>
      </c>
      <c r="B17" s="398">
        <f>SUM(B18:B20)</f>
        <v>1044</v>
      </c>
      <c r="C17" s="268">
        <f t="shared" ref="C17:D17" si="21">SUM(C18:C20)</f>
        <v>270</v>
      </c>
      <c r="D17" s="399">
        <f t="shared" si="21"/>
        <v>269</v>
      </c>
      <c r="E17" s="267">
        <f>SUM(E18:E20)</f>
        <v>121</v>
      </c>
      <c r="F17" s="270">
        <f t="shared" si="14"/>
        <v>47.826086956521742</v>
      </c>
      <c r="G17" s="271">
        <f>SUM(G18:G20)</f>
        <v>86</v>
      </c>
      <c r="H17" s="272">
        <f t="shared" si="15"/>
        <v>33.992094861660078</v>
      </c>
      <c r="I17" s="269">
        <f>SUM(I18:I20)</f>
        <v>46</v>
      </c>
      <c r="J17" s="272">
        <f t="shared" si="16"/>
        <v>18.181818181818183</v>
      </c>
      <c r="K17" s="269">
        <f>SUM(I17,E17,G17)</f>
        <v>253</v>
      </c>
      <c r="L17" s="233">
        <f t="shared" ref="L17" si="22">+K17/D17*100</f>
        <v>94.05204460966543</v>
      </c>
      <c r="M17" s="267">
        <f>SUM(M18:M20)</f>
        <v>8</v>
      </c>
      <c r="N17" s="270">
        <f t="shared" si="18"/>
        <v>6.6115702479338845</v>
      </c>
      <c r="O17" s="273">
        <f>SUM(O18:O20)</f>
        <v>8</v>
      </c>
      <c r="P17" s="235">
        <f>+O17/G17*100</f>
        <v>9.3023255813953494</v>
      </c>
      <c r="Q17" s="269">
        <f>SUM(Q18:Q20)</f>
        <v>4</v>
      </c>
      <c r="R17" s="270">
        <f t="shared" ref="R17" si="23">Q17/I17*100</f>
        <v>8.695652173913043</v>
      </c>
      <c r="S17" s="273">
        <f t="shared" si="19"/>
        <v>20</v>
      </c>
      <c r="T17" s="274">
        <f t="shared" si="20"/>
        <v>7.9051383399209492</v>
      </c>
    </row>
    <row r="18" spans="1:20" ht="18.95" customHeight="1">
      <c r="A18" s="275" t="s">
        <v>39</v>
      </c>
      <c r="B18" s="387">
        <f>180+24+38+2+13+9+6</f>
        <v>272</v>
      </c>
      <c r="C18" s="241">
        <v>90</v>
      </c>
      <c r="D18" s="388">
        <f>34+18+13+9+3</f>
        <v>77</v>
      </c>
      <c r="E18" s="243">
        <v>26</v>
      </c>
      <c r="F18" s="244">
        <f t="shared" ref="F18:F21" si="24">E18/K18*100</f>
        <v>37.142857142857146</v>
      </c>
      <c r="G18" s="245">
        <v>16</v>
      </c>
      <c r="H18" s="246">
        <f t="shared" ref="H18:H21" si="25">G18/K18*100</f>
        <v>22.857142857142858</v>
      </c>
      <c r="I18" s="247">
        <v>28</v>
      </c>
      <c r="J18" s="246">
        <f t="shared" ref="J18:J21" si="26">I18/K18*100</f>
        <v>40</v>
      </c>
      <c r="K18" s="247">
        <f t="shared" ref="K18:K20" si="27">SUM(I18,E18,G18)</f>
        <v>70</v>
      </c>
      <c r="L18" s="252">
        <f>+K18/D18*100</f>
        <v>90.909090909090907</v>
      </c>
      <c r="M18" s="240">
        <v>1</v>
      </c>
      <c r="N18" s="249">
        <f t="shared" ref="N18:N21" si="28">M18/E18*100</f>
        <v>3.8461538461538463</v>
      </c>
      <c r="O18" s="250">
        <v>1</v>
      </c>
      <c r="P18" s="251">
        <f t="shared" ref="P18:P20" si="29">O18/G18*100</f>
        <v>6.25</v>
      </c>
      <c r="Q18" s="242">
        <v>3</v>
      </c>
      <c r="R18" s="249">
        <f t="shared" ref="R18:R19" si="30">Q18/I18*100</f>
        <v>10.714285714285714</v>
      </c>
      <c r="S18" s="250">
        <f t="shared" ref="S18:S21" si="31">SUM(M18,O18,Q18)</f>
        <v>5</v>
      </c>
      <c r="T18" s="252">
        <f t="shared" ref="T18:T21" si="32">S18/K18*100</f>
        <v>7.1428571428571423</v>
      </c>
    </row>
    <row r="19" spans="1:20" ht="18.95" customHeight="1">
      <c r="A19" s="213" t="s">
        <v>40</v>
      </c>
      <c r="B19" s="400">
        <f>125+1+45+56+13+2+4</f>
        <v>246</v>
      </c>
      <c r="C19" s="188">
        <v>90</v>
      </c>
      <c r="D19" s="401">
        <f>47+33+11+1+3</f>
        <v>95</v>
      </c>
      <c r="E19" s="190">
        <v>45</v>
      </c>
      <c r="F19" s="191">
        <f t="shared" si="24"/>
        <v>49.450549450549453</v>
      </c>
      <c r="G19" s="192">
        <v>31</v>
      </c>
      <c r="H19" s="193">
        <f t="shared" si="25"/>
        <v>34.065934065934066</v>
      </c>
      <c r="I19" s="277">
        <v>15</v>
      </c>
      <c r="J19" s="193">
        <f t="shared" si="26"/>
        <v>16.483516483516482</v>
      </c>
      <c r="K19" s="192">
        <f t="shared" si="27"/>
        <v>91</v>
      </c>
      <c r="L19" s="197">
        <f t="shared" ref="L19:L20" si="33">+K19/D19*100</f>
        <v>95.78947368421052</v>
      </c>
      <c r="M19" s="187">
        <v>3</v>
      </c>
      <c r="N19" s="194">
        <f t="shared" si="28"/>
        <v>6.666666666666667</v>
      </c>
      <c r="O19" s="196">
        <v>2</v>
      </c>
      <c r="P19" s="279">
        <f t="shared" si="29"/>
        <v>6.4516129032258061</v>
      </c>
      <c r="Q19" s="189">
        <v>1</v>
      </c>
      <c r="R19" s="194">
        <f t="shared" si="30"/>
        <v>6.666666666666667</v>
      </c>
      <c r="S19" s="196">
        <f t="shared" si="31"/>
        <v>6</v>
      </c>
      <c r="T19" s="197">
        <f t="shared" si="32"/>
        <v>6.593406593406594</v>
      </c>
    </row>
    <row r="20" spans="1:20" ht="18.95" customHeight="1" thickBot="1">
      <c r="A20" s="225" t="s">
        <v>41</v>
      </c>
      <c r="B20" s="402">
        <f>382+6+69+65+2+1+1</f>
        <v>526</v>
      </c>
      <c r="C20" s="281">
        <v>90</v>
      </c>
      <c r="D20" s="403">
        <f>57+40</f>
        <v>97</v>
      </c>
      <c r="E20" s="283">
        <v>50</v>
      </c>
      <c r="F20" s="284">
        <f t="shared" si="24"/>
        <v>54.347826086956516</v>
      </c>
      <c r="G20" s="285">
        <v>39</v>
      </c>
      <c r="H20" s="286">
        <f t="shared" si="25"/>
        <v>42.391304347826086</v>
      </c>
      <c r="I20" s="287">
        <v>3</v>
      </c>
      <c r="J20" s="286">
        <f t="shared" si="26"/>
        <v>3.2608695652173911</v>
      </c>
      <c r="K20" s="287">
        <f t="shared" si="27"/>
        <v>92</v>
      </c>
      <c r="L20" s="292">
        <f t="shared" si="33"/>
        <v>94.845360824742258</v>
      </c>
      <c r="M20" s="280">
        <v>4</v>
      </c>
      <c r="N20" s="289">
        <f t="shared" si="28"/>
        <v>8</v>
      </c>
      <c r="O20" s="290">
        <v>5</v>
      </c>
      <c r="P20" s="291">
        <f t="shared" si="29"/>
        <v>12.820512820512819</v>
      </c>
      <c r="Q20" s="282"/>
      <c r="R20" s="289"/>
      <c r="S20" s="290">
        <f t="shared" si="31"/>
        <v>9</v>
      </c>
      <c r="T20" s="292">
        <f t="shared" si="32"/>
        <v>9.7826086956521738</v>
      </c>
    </row>
    <row r="21" spans="1:20" ht="18.95" customHeight="1">
      <c r="A21" s="293" t="s">
        <v>42</v>
      </c>
      <c r="B21" s="404">
        <f>SUM(B22:B44)</f>
        <v>8860</v>
      </c>
      <c r="C21" s="295">
        <f t="shared" ref="C21:D21" si="34">SUM(C22:C44)</f>
        <v>2000</v>
      </c>
      <c r="D21" s="405">
        <f t="shared" si="34"/>
        <v>2844</v>
      </c>
      <c r="E21" s="165">
        <f>SUM(E22:E44)</f>
        <v>2144</v>
      </c>
      <c r="F21" s="233">
        <f t="shared" si="24"/>
        <v>79.55473098330242</v>
      </c>
      <c r="G21" s="169">
        <f>SUM(G22:G44)</f>
        <v>160</v>
      </c>
      <c r="H21" s="237">
        <f t="shared" si="25"/>
        <v>5.9369202226345088</v>
      </c>
      <c r="I21" s="167">
        <f>SUM(I22:I44)</f>
        <v>391</v>
      </c>
      <c r="J21" s="237">
        <f t="shared" si="26"/>
        <v>14.50834879406308</v>
      </c>
      <c r="K21" s="167">
        <f>SUM(K22:K44)</f>
        <v>2695</v>
      </c>
      <c r="L21" s="236">
        <f t="shared" ref="L21:L22" si="35">+K21/D21*100</f>
        <v>94.760900140646982</v>
      </c>
      <c r="M21" s="167">
        <f>SUM(M22:M44)</f>
        <v>126</v>
      </c>
      <c r="N21" s="233">
        <f t="shared" si="28"/>
        <v>5.8768656716417915</v>
      </c>
      <c r="O21" s="169">
        <f>SUM(O22:O44)</f>
        <v>7</v>
      </c>
      <c r="P21" s="237">
        <f>+O21/G21*100</f>
        <v>4.375</v>
      </c>
      <c r="Q21" s="167">
        <f>SUM(Q22:Q44)</f>
        <v>76</v>
      </c>
      <c r="R21" s="233">
        <f t="shared" ref="R21" si="36">Q21/I21*100</f>
        <v>19.437340153452684</v>
      </c>
      <c r="S21" s="169">
        <f t="shared" si="31"/>
        <v>209</v>
      </c>
      <c r="T21" s="236">
        <f t="shared" si="32"/>
        <v>7.7551020408163263</v>
      </c>
    </row>
    <row r="22" spans="1:20" ht="18.95" customHeight="1">
      <c r="A22" s="159" t="s">
        <v>43</v>
      </c>
      <c r="B22" s="875">
        <f>7204+128+738+250+28+182+2+4+324</f>
        <v>8860</v>
      </c>
      <c r="C22" s="174">
        <v>2000</v>
      </c>
      <c r="D22" s="876">
        <f>2354+179+109+4+198</f>
        <v>2844</v>
      </c>
      <c r="E22" s="176">
        <v>1762</v>
      </c>
      <c r="F22" s="177">
        <f t="shared" ref="F22:F39" si="37">E22/K22*100</f>
        <v>88.365095285857578</v>
      </c>
      <c r="G22" s="178">
        <v>160</v>
      </c>
      <c r="H22" s="179">
        <f t="shared" ref="H22:H45" si="38">G22/K22*100</f>
        <v>8.0240722166499499</v>
      </c>
      <c r="I22" s="180">
        <v>72</v>
      </c>
      <c r="J22" s="179">
        <f t="shared" ref="J22:J43" si="39">I22/K22*100</f>
        <v>3.6108324974924777</v>
      </c>
      <c r="K22" s="178">
        <f t="shared" ref="K22:K44" si="40">SUM(I22,E22,G22)</f>
        <v>1994</v>
      </c>
      <c r="L22" s="248">
        <f t="shared" si="35"/>
        <v>70.112517580872009</v>
      </c>
      <c r="M22" s="173">
        <v>114</v>
      </c>
      <c r="N22" s="182">
        <f t="shared" ref="N22:N28" si="41">M22/E22*100</f>
        <v>6.4699205448354142</v>
      </c>
      <c r="O22" s="183">
        <v>7</v>
      </c>
      <c r="P22" s="184">
        <f>O22/G22*100</f>
        <v>4.375</v>
      </c>
      <c r="Q22" s="175">
        <v>11</v>
      </c>
      <c r="R22" s="182">
        <f t="shared" ref="R22:R29" si="42">Q22/I22*100</f>
        <v>15.277777777777779</v>
      </c>
      <c r="S22" s="183">
        <f t="shared" ref="S22:S44" si="43">SUM(M22,O22,Q22)</f>
        <v>132</v>
      </c>
      <c r="T22" s="185">
        <f t="shared" ref="T22:T24" si="44">S22/K22*100</f>
        <v>6.6198595787362091</v>
      </c>
    </row>
    <row r="23" spans="1:20" ht="18.95" customHeight="1">
      <c r="A23" s="160" t="s">
        <v>44</v>
      </c>
      <c r="B23" s="406"/>
      <c r="C23" s="298"/>
      <c r="D23" s="407"/>
      <c r="E23" s="318">
        <v>20</v>
      </c>
      <c r="F23" s="319">
        <f t="shared" si="37"/>
        <v>62.5</v>
      </c>
      <c r="G23" s="320">
        <v>0</v>
      </c>
      <c r="H23" s="321">
        <f t="shared" si="38"/>
        <v>0</v>
      </c>
      <c r="I23" s="322">
        <v>12</v>
      </c>
      <c r="J23" s="321">
        <f t="shared" si="39"/>
        <v>37.5</v>
      </c>
      <c r="K23" s="322">
        <f t="shared" si="40"/>
        <v>32</v>
      </c>
      <c r="L23" s="292"/>
      <c r="M23" s="187">
        <v>1</v>
      </c>
      <c r="N23" s="194">
        <f t="shared" si="41"/>
        <v>5</v>
      </c>
      <c r="O23" s="196">
        <v>0</v>
      </c>
      <c r="P23" s="279">
        <v>0</v>
      </c>
      <c r="Q23" s="189">
        <v>2</v>
      </c>
      <c r="R23" s="194">
        <f t="shared" si="42"/>
        <v>16.666666666666664</v>
      </c>
      <c r="S23" s="196">
        <f t="shared" si="43"/>
        <v>3</v>
      </c>
      <c r="T23" s="197">
        <f t="shared" si="44"/>
        <v>9.375</v>
      </c>
    </row>
    <row r="24" spans="1:20" ht="18.95" customHeight="1">
      <c r="A24" s="160" t="s">
        <v>45</v>
      </c>
      <c r="B24" s="406"/>
      <c r="C24" s="298"/>
      <c r="D24" s="407"/>
      <c r="E24" s="190">
        <v>24</v>
      </c>
      <c r="F24" s="191">
        <f t="shared" si="37"/>
        <v>80</v>
      </c>
      <c r="G24" s="192">
        <v>0</v>
      </c>
      <c r="H24" s="193">
        <f t="shared" si="38"/>
        <v>0</v>
      </c>
      <c r="I24" s="277">
        <v>6</v>
      </c>
      <c r="J24" s="193">
        <f t="shared" si="39"/>
        <v>20</v>
      </c>
      <c r="K24" s="277">
        <f t="shared" si="40"/>
        <v>30</v>
      </c>
      <c r="L24" s="331"/>
      <c r="M24" s="187">
        <v>2</v>
      </c>
      <c r="N24" s="194">
        <f t="shared" si="41"/>
        <v>8.3333333333333321</v>
      </c>
      <c r="O24" s="196">
        <v>0</v>
      </c>
      <c r="P24" s="279">
        <v>0</v>
      </c>
      <c r="Q24" s="189">
        <v>2</v>
      </c>
      <c r="R24" s="194">
        <f t="shared" si="42"/>
        <v>33.333333333333329</v>
      </c>
      <c r="S24" s="196">
        <f t="shared" si="43"/>
        <v>4</v>
      </c>
      <c r="T24" s="197">
        <f t="shared" si="44"/>
        <v>13.333333333333334</v>
      </c>
    </row>
    <row r="25" spans="1:20" ht="18.95" customHeight="1">
      <c r="A25" s="160" t="s">
        <v>46</v>
      </c>
      <c r="B25" s="406"/>
      <c r="C25" s="298"/>
      <c r="D25" s="407"/>
      <c r="E25" s="190">
        <v>10</v>
      </c>
      <c r="F25" s="191">
        <f t="shared" si="37"/>
        <v>66.666666666666657</v>
      </c>
      <c r="G25" s="192">
        <v>0</v>
      </c>
      <c r="H25" s="193">
        <f t="shared" si="38"/>
        <v>0</v>
      </c>
      <c r="I25" s="277">
        <v>5</v>
      </c>
      <c r="J25" s="193">
        <f t="shared" si="39"/>
        <v>33.333333333333329</v>
      </c>
      <c r="K25" s="277">
        <f t="shared" si="40"/>
        <v>15</v>
      </c>
      <c r="L25" s="331"/>
      <c r="M25" s="187">
        <v>0</v>
      </c>
      <c r="N25" s="194">
        <f t="shared" si="41"/>
        <v>0</v>
      </c>
      <c r="O25" s="196">
        <v>0</v>
      </c>
      <c r="P25" s="279">
        <v>0</v>
      </c>
      <c r="Q25" s="189">
        <v>0</v>
      </c>
      <c r="R25" s="194">
        <f t="shared" si="42"/>
        <v>0</v>
      </c>
      <c r="S25" s="196">
        <f t="shared" si="43"/>
        <v>0</v>
      </c>
      <c r="T25" s="197">
        <v>0</v>
      </c>
    </row>
    <row r="26" spans="1:20" ht="18.95" customHeight="1">
      <c r="A26" s="160" t="s">
        <v>47</v>
      </c>
      <c r="B26" s="406"/>
      <c r="C26" s="298"/>
      <c r="D26" s="407"/>
      <c r="E26" s="190">
        <v>15</v>
      </c>
      <c r="F26" s="191">
        <f t="shared" si="37"/>
        <v>75</v>
      </c>
      <c r="G26" s="192">
        <v>0</v>
      </c>
      <c r="H26" s="193">
        <f t="shared" si="38"/>
        <v>0</v>
      </c>
      <c r="I26" s="277">
        <v>5</v>
      </c>
      <c r="J26" s="193">
        <f t="shared" si="39"/>
        <v>25</v>
      </c>
      <c r="K26" s="277">
        <f t="shared" si="40"/>
        <v>20</v>
      </c>
      <c r="L26" s="331"/>
      <c r="M26" s="187">
        <v>0</v>
      </c>
      <c r="N26" s="194">
        <f t="shared" si="41"/>
        <v>0</v>
      </c>
      <c r="O26" s="196">
        <v>0</v>
      </c>
      <c r="P26" s="279">
        <v>0</v>
      </c>
      <c r="Q26" s="189">
        <v>0</v>
      </c>
      <c r="R26" s="194">
        <f t="shared" si="42"/>
        <v>0</v>
      </c>
      <c r="S26" s="196">
        <f t="shared" si="43"/>
        <v>0</v>
      </c>
      <c r="T26" s="197">
        <v>0</v>
      </c>
    </row>
    <row r="27" spans="1:20" ht="18.95" customHeight="1">
      <c r="A27" s="160" t="s">
        <v>48</v>
      </c>
      <c r="B27" s="406"/>
      <c r="C27" s="298"/>
      <c r="D27" s="407"/>
      <c r="E27" s="190">
        <v>11</v>
      </c>
      <c r="F27" s="191">
        <f t="shared" si="37"/>
        <v>52.380952380952387</v>
      </c>
      <c r="G27" s="192">
        <v>0</v>
      </c>
      <c r="H27" s="193">
        <f t="shared" si="38"/>
        <v>0</v>
      </c>
      <c r="I27" s="277">
        <v>10</v>
      </c>
      <c r="J27" s="193">
        <f t="shared" si="39"/>
        <v>47.619047619047613</v>
      </c>
      <c r="K27" s="277">
        <f t="shared" si="40"/>
        <v>21</v>
      </c>
      <c r="L27" s="331"/>
      <c r="M27" s="187">
        <v>0</v>
      </c>
      <c r="N27" s="194">
        <f t="shared" si="41"/>
        <v>0</v>
      </c>
      <c r="O27" s="196">
        <v>0</v>
      </c>
      <c r="P27" s="279">
        <v>0</v>
      </c>
      <c r="Q27" s="189">
        <v>0</v>
      </c>
      <c r="R27" s="194">
        <f t="shared" si="42"/>
        <v>0</v>
      </c>
      <c r="S27" s="196">
        <f t="shared" si="43"/>
        <v>0</v>
      </c>
      <c r="T27" s="197">
        <v>0</v>
      </c>
    </row>
    <row r="28" spans="1:20" ht="18.95" customHeight="1">
      <c r="A28" s="160" t="s">
        <v>49</v>
      </c>
      <c r="B28" s="406"/>
      <c r="C28" s="298"/>
      <c r="D28" s="407"/>
      <c r="E28" s="190">
        <v>32</v>
      </c>
      <c r="F28" s="191">
        <f t="shared" si="37"/>
        <v>78.048780487804876</v>
      </c>
      <c r="G28" s="192">
        <v>0</v>
      </c>
      <c r="H28" s="193">
        <f t="shared" si="38"/>
        <v>0</v>
      </c>
      <c r="I28" s="277">
        <v>9</v>
      </c>
      <c r="J28" s="193">
        <f t="shared" si="39"/>
        <v>21.951219512195124</v>
      </c>
      <c r="K28" s="277">
        <f t="shared" si="40"/>
        <v>41</v>
      </c>
      <c r="L28" s="331"/>
      <c r="M28" s="187">
        <v>0</v>
      </c>
      <c r="N28" s="194">
        <f t="shared" si="41"/>
        <v>0</v>
      </c>
      <c r="O28" s="196">
        <v>0</v>
      </c>
      <c r="P28" s="279">
        <v>0</v>
      </c>
      <c r="Q28" s="189">
        <v>0</v>
      </c>
      <c r="R28" s="194">
        <f t="shared" si="42"/>
        <v>0</v>
      </c>
      <c r="S28" s="196">
        <f t="shared" si="43"/>
        <v>0</v>
      </c>
      <c r="T28" s="197">
        <v>0</v>
      </c>
    </row>
    <row r="29" spans="1:20" ht="18.95" customHeight="1">
      <c r="A29" s="160" t="s">
        <v>50</v>
      </c>
      <c r="B29" s="406"/>
      <c r="C29" s="298"/>
      <c r="D29" s="407"/>
      <c r="E29" s="190">
        <v>9</v>
      </c>
      <c r="F29" s="191">
        <f t="shared" si="37"/>
        <v>60</v>
      </c>
      <c r="G29" s="192">
        <v>0</v>
      </c>
      <c r="H29" s="193">
        <f t="shared" si="38"/>
        <v>0</v>
      </c>
      <c r="I29" s="277">
        <v>6</v>
      </c>
      <c r="J29" s="193">
        <f t="shared" si="39"/>
        <v>40</v>
      </c>
      <c r="K29" s="277">
        <f t="shared" si="40"/>
        <v>15</v>
      </c>
      <c r="L29" s="331"/>
      <c r="M29" s="187">
        <v>3</v>
      </c>
      <c r="N29" s="194">
        <f t="shared" ref="N29:N30" si="45">M29/E29*100</f>
        <v>33.333333333333329</v>
      </c>
      <c r="O29" s="196">
        <v>0</v>
      </c>
      <c r="P29" s="279">
        <v>0</v>
      </c>
      <c r="Q29" s="189">
        <v>0</v>
      </c>
      <c r="R29" s="194">
        <f t="shared" si="42"/>
        <v>0</v>
      </c>
      <c r="S29" s="196">
        <f t="shared" si="43"/>
        <v>3</v>
      </c>
      <c r="T29" s="197">
        <f t="shared" ref="T29:T30" si="46">S29/K29*100</f>
        <v>20</v>
      </c>
    </row>
    <row r="30" spans="1:20" ht="18.95" customHeight="1">
      <c r="A30" s="161" t="s">
        <v>51</v>
      </c>
      <c r="B30" s="406"/>
      <c r="C30" s="298"/>
      <c r="D30" s="407"/>
      <c r="E30" s="256">
        <v>21</v>
      </c>
      <c r="F30" s="257">
        <f t="shared" si="37"/>
        <v>75</v>
      </c>
      <c r="G30" s="258">
        <v>0</v>
      </c>
      <c r="H30" s="259">
        <f t="shared" si="38"/>
        <v>0</v>
      </c>
      <c r="I30" s="260">
        <v>7</v>
      </c>
      <c r="J30" s="259">
        <f t="shared" si="39"/>
        <v>25</v>
      </c>
      <c r="K30" s="260">
        <f t="shared" si="40"/>
        <v>28</v>
      </c>
      <c r="L30" s="331"/>
      <c r="M30" s="253">
        <v>1</v>
      </c>
      <c r="N30" s="262">
        <f t="shared" si="45"/>
        <v>4.7619047619047619</v>
      </c>
      <c r="O30" s="263">
        <v>0</v>
      </c>
      <c r="P30" s="279">
        <v>0</v>
      </c>
      <c r="Q30" s="255">
        <v>1</v>
      </c>
      <c r="R30" s="262">
        <f t="shared" ref="R30:R43" si="47">Q30/I30*100</f>
        <v>14.285714285714285</v>
      </c>
      <c r="S30" s="263">
        <f t="shared" si="43"/>
        <v>2</v>
      </c>
      <c r="T30" s="265">
        <f t="shared" si="46"/>
        <v>7.1428571428571423</v>
      </c>
    </row>
    <row r="31" spans="1:20" ht="18.95" customHeight="1">
      <c r="A31" s="161" t="s">
        <v>52</v>
      </c>
      <c r="B31" s="406"/>
      <c r="C31" s="298"/>
      <c r="D31" s="407"/>
      <c r="E31" s="256">
        <v>37</v>
      </c>
      <c r="F31" s="257">
        <f t="shared" si="37"/>
        <v>88.095238095238088</v>
      </c>
      <c r="G31" s="258">
        <v>0</v>
      </c>
      <c r="H31" s="259">
        <f t="shared" si="38"/>
        <v>0</v>
      </c>
      <c r="I31" s="260">
        <v>5</v>
      </c>
      <c r="J31" s="259">
        <f t="shared" si="39"/>
        <v>11.904761904761903</v>
      </c>
      <c r="K31" s="260">
        <f t="shared" si="40"/>
        <v>42</v>
      </c>
      <c r="L31" s="331"/>
      <c r="M31" s="253" t="s">
        <v>102</v>
      </c>
      <c r="N31" s="262" t="s">
        <v>102</v>
      </c>
      <c r="O31" s="263">
        <v>0</v>
      </c>
      <c r="P31" s="279">
        <v>0</v>
      </c>
      <c r="Q31" s="255">
        <v>0</v>
      </c>
      <c r="R31" s="262">
        <f t="shared" si="47"/>
        <v>0</v>
      </c>
      <c r="S31" s="263">
        <f t="shared" si="43"/>
        <v>0</v>
      </c>
      <c r="T31" s="265">
        <v>0</v>
      </c>
    </row>
    <row r="32" spans="1:20" ht="18.95" customHeight="1">
      <c r="A32" s="161" t="s">
        <v>53</v>
      </c>
      <c r="B32" s="406"/>
      <c r="C32" s="298"/>
      <c r="D32" s="407"/>
      <c r="E32" s="256">
        <v>14</v>
      </c>
      <c r="F32" s="257">
        <f t="shared" si="37"/>
        <v>73.68421052631578</v>
      </c>
      <c r="G32" s="258">
        <v>0</v>
      </c>
      <c r="H32" s="259">
        <f t="shared" si="38"/>
        <v>0</v>
      </c>
      <c r="I32" s="260">
        <v>5</v>
      </c>
      <c r="J32" s="259">
        <f t="shared" si="39"/>
        <v>26.315789473684209</v>
      </c>
      <c r="K32" s="260">
        <f t="shared" si="40"/>
        <v>19</v>
      </c>
      <c r="L32" s="331"/>
      <c r="M32" s="253">
        <v>1</v>
      </c>
      <c r="N32" s="262">
        <f t="shared" ref="N32:N39" si="48">M32/E32*100</f>
        <v>7.1428571428571423</v>
      </c>
      <c r="O32" s="263">
        <v>0</v>
      </c>
      <c r="P32" s="279">
        <v>0</v>
      </c>
      <c r="Q32" s="255">
        <v>0</v>
      </c>
      <c r="R32" s="302">
        <f t="shared" si="47"/>
        <v>0</v>
      </c>
      <c r="S32" s="263">
        <f t="shared" si="43"/>
        <v>1</v>
      </c>
      <c r="T32" s="265">
        <f t="shared" ref="T32:T35" si="49">S32/K32*100</f>
        <v>5.2631578947368416</v>
      </c>
    </row>
    <row r="33" spans="1:20" ht="18.95" customHeight="1">
      <c r="A33" s="161" t="s">
        <v>54</v>
      </c>
      <c r="B33" s="406"/>
      <c r="C33" s="298"/>
      <c r="D33" s="407"/>
      <c r="E33" s="256">
        <v>32</v>
      </c>
      <c r="F33" s="257">
        <f t="shared" si="37"/>
        <v>78.048780487804876</v>
      </c>
      <c r="G33" s="258">
        <v>0</v>
      </c>
      <c r="H33" s="259">
        <f t="shared" si="38"/>
        <v>0</v>
      </c>
      <c r="I33" s="260">
        <v>9</v>
      </c>
      <c r="J33" s="259">
        <f t="shared" si="39"/>
        <v>21.951219512195124</v>
      </c>
      <c r="K33" s="260">
        <f t="shared" si="40"/>
        <v>41</v>
      </c>
      <c r="L33" s="331"/>
      <c r="M33" s="253">
        <v>1</v>
      </c>
      <c r="N33" s="262">
        <f t="shared" si="48"/>
        <v>3.125</v>
      </c>
      <c r="O33" s="263">
        <v>0</v>
      </c>
      <c r="P33" s="264">
        <v>0</v>
      </c>
      <c r="Q33" s="255">
        <v>1</v>
      </c>
      <c r="R33" s="262">
        <f t="shared" si="47"/>
        <v>11.111111111111111</v>
      </c>
      <c r="S33" s="263">
        <f t="shared" si="43"/>
        <v>2</v>
      </c>
      <c r="T33" s="265">
        <f t="shared" si="49"/>
        <v>4.8780487804878048</v>
      </c>
    </row>
    <row r="34" spans="1:20" ht="18.95" customHeight="1" thickBot="1">
      <c r="A34" s="162" t="s">
        <v>55</v>
      </c>
      <c r="B34" s="859"/>
      <c r="C34" s="305"/>
      <c r="D34" s="860"/>
      <c r="E34" s="307">
        <v>19</v>
      </c>
      <c r="F34" s="308">
        <f t="shared" si="37"/>
        <v>95</v>
      </c>
      <c r="G34" s="309">
        <v>0</v>
      </c>
      <c r="H34" s="310">
        <f t="shared" si="38"/>
        <v>0</v>
      </c>
      <c r="I34" s="311">
        <v>1</v>
      </c>
      <c r="J34" s="310">
        <f t="shared" si="39"/>
        <v>5</v>
      </c>
      <c r="K34" s="311">
        <f t="shared" si="40"/>
        <v>20</v>
      </c>
      <c r="L34" s="408"/>
      <c r="M34" s="312">
        <v>1</v>
      </c>
      <c r="N34" s="313">
        <f t="shared" si="48"/>
        <v>5.2631578947368416</v>
      </c>
      <c r="O34" s="314">
        <v>0</v>
      </c>
      <c r="P34" s="315">
        <v>0</v>
      </c>
      <c r="Q34" s="314">
        <v>0</v>
      </c>
      <c r="R34" s="315">
        <f t="shared" si="47"/>
        <v>0</v>
      </c>
      <c r="S34" s="314">
        <f t="shared" si="43"/>
        <v>1</v>
      </c>
      <c r="T34" s="317">
        <f t="shared" si="49"/>
        <v>5</v>
      </c>
    </row>
    <row r="35" spans="1:20" ht="18.95" customHeight="1">
      <c r="A35" s="163" t="s">
        <v>56</v>
      </c>
      <c r="B35" s="406"/>
      <c r="C35" s="298"/>
      <c r="D35" s="407"/>
      <c r="E35" s="318">
        <v>11</v>
      </c>
      <c r="F35" s="319">
        <f t="shared" si="37"/>
        <v>78.571428571428569</v>
      </c>
      <c r="G35" s="320">
        <v>0</v>
      </c>
      <c r="H35" s="321">
        <f t="shared" si="38"/>
        <v>0</v>
      </c>
      <c r="I35" s="322">
        <v>3</v>
      </c>
      <c r="J35" s="321">
        <f t="shared" si="39"/>
        <v>21.428571428571427</v>
      </c>
      <c r="K35" s="322">
        <f t="shared" si="40"/>
        <v>14</v>
      </c>
      <c r="L35" s="331"/>
      <c r="M35" s="323">
        <v>2</v>
      </c>
      <c r="N35" s="324">
        <f t="shared" si="48"/>
        <v>18.181818181818183</v>
      </c>
      <c r="O35" s="325">
        <v>0</v>
      </c>
      <c r="P35" s="326">
        <v>0</v>
      </c>
      <c r="Q35" s="327">
        <v>0</v>
      </c>
      <c r="R35" s="324">
        <f t="shared" si="47"/>
        <v>0</v>
      </c>
      <c r="S35" s="325">
        <f t="shared" si="43"/>
        <v>2</v>
      </c>
      <c r="T35" s="328">
        <f t="shared" si="49"/>
        <v>14.285714285714285</v>
      </c>
    </row>
    <row r="36" spans="1:20" ht="18.95" customHeight="1">
      <c r="A36" s="160" t="s">
        <v>57</v>
      </c>
      <c r="B36" s="406"/>
      <c r="C36" s="298"/>
      <c r="D36" s="407"/>
      <c r="E36" s="190">
        <v>10</v>
      </c>
      <c r="F36" s="191">
        <f t="shared" si="37"/>
        <v>76.923076923076934</v>
      </c>
      <c r="G36" s="192">
        <v>0</v>
      </c>
      <c r="H36" s="193">
        <f t="shared" si="38"/>
        <v>0</v>
      </c>
      <c r="I36" s="277">
        <v>3</v>
      </c>
      <c r="J36" s="193">
        <f t="shared" si="39"/>
        <v>23.076923076923077</v>
      </c>
      <c r="K36" s="277">
        <f t="shared" si="40"/>
        <v>13</v>
      </c>
      <c r="L36" s="331"/>
      <c r="M36" s="187">
        <v>0</v>
      </c>
      <c r="N36" s="194">
        <f t="shared" si="48"/>
        <v>0</v>
      </c>
      <c r="O36" s="196">
        <v>0</v>
      </c>
      <c r="P36" s="279">
        <v>0</v>
      </c>
      <c r="Q36" s="189">
        <v>0</v>
      </c>
      <c r="R36" s="300">
        <f t="shared" si="47"/>
        <v>0</v>
      </c>
      <c r="S36" s="196">
        <f t="shared" si="43"/>
        <v>0</v>
      </c>
      <c r="T36" s="197">
        <v>0</v>
      </c>
    </row>
    <row r="37" spans="1:20" ht="18.95" customHeight="1">
      <c r="A37" s="160" t="s">
        <v>58</v>
      </c>
      <c r="B37" s="406"/>
      <c r="C37" s="298"/>
      <c r="D37" s="407"/>
      <c r="E37" s="190">
        <v>23</v>
      </c>
      <c r="F37" s="191">
        <f t="shared" si="37"/>
        <v>79.310344827586206</v>
      </c>
      <c r="G37" s="192">
        <v>0</v>
      </c>
      <c r="H37" s="193">
        <f t="shared" si="38"/>
        <v>0</v>
      </c>
      <c r="I37" s="277">
        <v>6</v>
      </c>
      <c r="J37" s="193">
        <f t="shared" si="39"/>
        <v>20.689655172413794</v>
      </c>
      <c r="K37" s="277">
        <f t="shared" si="40"/>
        <v>29</v>
      </c>
      <c r="L37" s="331"/>
      <c r="M37" s="187">
        <v>0</v>
      </c>
      <c r="N37" s="194">
        <f t="shared" si="48"/>
        <v>0</v>
      </c>
      <c r="O37" s="196">
        <v>0</v>
      </c>
      <c r="P37" s="279">
        <v>0</v>
      </c>
      <c r="Q37" s="189">
        <v>0</v>
      </c>
      <c r="R37" s="300">
        <f t="shared" si="47"/>
        <v>0</v>
      </c>
      <c r="S37" s="196">
        <f t="shared" si="43"/>
        <v>0</v>
      </c>
      <c r="T37" s="197">
        <v>0</v>
      </c>
    </row>
    <row r="38" spans="1:20" ht="18.95" customHeight="1">
      <c r="A38" s="160" t="s">
        <v>59</v>
      </c>
      <c r="B38" s="406"/>
      <c r="C38" s="298"/>
      <c r="D38" s="407"/>
      <c r="E38" s="190">
        <v>26</v>
      </c>
      <c r="F38" s="191">
        <f t="shared" si="37"/>
        <v>89.65517241379311</v>
      </c>
      <c r="G38" s="192">
        <v>0</v>
      </c>
      <c r="H38" s="193">
        <f t="shared" si="38"/>
        <v>0</v>
      </c>
      <c r="I38" s="277">
        <v>3</v>
      </c>
      <c r="J38" s="193">
        <f t="shared" si="39"/>
        <v>10.344827586206897</v>
      </c>
      <c r="K38" s="277">
        <f t="shared" si="40"/>
        <v>29</v>
      </c>
      <c r="L38" s="331"/>
      <c r="M38" s="187">
        <v>0</v>
      </c>
      <c r="N38" s="194">
        <f t="shared" si="48"/>
        <v>0</v>
      </c>
      <c r="O38" s="196">
        <v>0</v>
      </c>
      <c r="P38" s="279">
        <v>0</v>
      </c>
      <c r="Q38" s="189">
        <v>0</v>
      </c>
      <c r="R38" s="300">
        <f t="shared" si="47"/>
        <v>0</v>
      </c>
      <c r="S38" s="196">
        <f t="shared" si="43"/>
        <v>0</v>
      </c>
      <c r="T38" s="197">
        <v>0</v>
      </c>
    </row>
    <row r="39" spans="1:20" ht="18.95" customHeight="1">
      <c r="A39" s="160" t="s">
        <v>60</v>
      </c>
      <c r="B39" s="406"/>
      <c r="C39" s="298"/>
      <c r="D39" s="407"/>
      <c r="E39" s="190">
        <v>18</v>
      </c>
      <c r="F39" s="191">
        <f t="shared" si="37"/>
        <v>81.818181818181827</v>
      </c>
      <c r="G39" s="192">
        <v>0</v>
      </c>
      <c r="H39" s="193">
        <f t="shared" si="38"/>
        <v>0</v>
      </c>
      <c r="I39" s="277">
        <v>4</v>
      </c>
      <c r="J39" s="193">
        <f t="shared" si="39"/>
        <v>18.181818181818183</v>
      </c>
      <c r="K39" s="277">
        <f t="shared" si="40"/>
        <v>22</v>
      </c>
      <c r="L39" s="331"/>
      <c r="M39" s="187">
        <v>0</v>
      </c>
      <c r="N39" s="194">
        <f t="shared" si="48"/>
        <v>0</v>
      </c>
      <c r="O39" s="196">
        <v>0</v>
      </c>
      <c r="P39" s="279">
        <v>0</v>
      </c>
      <c r="Q39" s="189">
        <v>0</v>
      </c>
      <c r="R39" s="300">
        <f t="shared" si="47"/>
        <v>0</v>
      </c>
      <c r="S39" s="196">
        <f t="shared" si="43"/>
        <v>0</v>
      </c>
      <c r="T39" s="197">
        <v>0</v>
      </c>
    </row>
    <row r="40" spans="1:20" ht="18.95" customHeight="1">
      <c r="A40" s="160" t="s">
        <v>61</v>
      </c>
      <c r="B40" s="406"/>
      <c r="C40" s="298"/>
      <c r="D40" s="407"/>
      <c r="E40" s="190" t="s">
        <v>102</v>
      </c>
      <c r="F40" s="191" t="s">
        <v>102</v>
      </c>
      <c r="G40" s="192">
        <v>0</v>
      </c>
      <c r="H40" s="193">
        <f t="shared" si="38"/>
        <v>0</v>
      </c>
      <c r="I40" s="277">
        <v>203</v>
      </c>
      <c r="J40" s="193">
        <f t="shared" si="39"/>
        <v>100</v>
      </c>
      <c r="K40" s="277">
        <f t="shared" si="40"/>
        <v>203</v>
      </c>
      <c r="L40" s="331"/>
      <c r="M40" s="187">
        <v>0</v>
      </c>
      <c r="N40" s="194">
        <v>0</v>
      </c>
      <c r="O40" s="196">
        <v>0</v>
      </c>
      <c r="P40" s="279">
        <v>0</v>
      </c>
      <c r="Q40" s="189">
        <v>58</v>
      </c>
      <c r="R40" s="194">
        <f t="shared" si="47"/>
        <v>28.571428571428569</v>
      </c>
      <c r="S40" s="196">
        <f t="shared" si="43"/>
        <v>58</v>
      </c>
      <c r="T40" s="197">
        <f>S40/K40*100</f>
        <v>28.571428571428569</v>
      </c>
    </row>
    <row r="41" spans="1:20" ht="18.95" customHeight="1">
      <c r="A41" s="160" t="s">
        <v>62</v>
      </c>
      <c r="B41" s="406"/>
      <c r="C41" s="298"/>
      <c r="D41" s="407"/>
      <c r="E41" s="190">
        <v>6</v>
      </c>
      <c r="F41" s="191">
        <f t="shared" ref="F41:F44" si="50">E41/K41*100</f>
        <v>40</v>
      </c>
      <c r="G41" s="192">
        <v>0</v>
      </c>
      <c r="H41" s="193">
        <f t="shared" si="38"/>
        <v>0</v>
      </c>
      <c r="I41" s="277">
        <v>9</v>
      </c>
      <c r="J41" s="193">
        <f t="shared" si="39"/>
        <v>60</v>
      </c>
      <c r="K41" s="277">
        <f t="shared" si="40"/>
        <v>15</v>
      </c>
      <c r="L41" s="331"/>
      <c r="M41" s="187">
        <v>0</v>
      </c>
      <c r="N41" s="194">
        <v>0</v>
      </c>
      <c r="O41" s="196">
        <v>0</v>
      </c>
      <c r="P41" s="279">
        <v>0</v>
      </c>
      <c r="Q41" s="330">
        <v>0</v>
      </c>
      <c r="R41" s="300">
        <f t="shared" si="47"/>
        <v>0</v>
      </c>
      <c r="S41" s="196">
        <f t="shared" si="43"/>
        <v>0</v>
      </c>
      <c r="T41" s="197">
        <v>0</v>
      </c>
    </row>
    <row r="42" spans="1:20" ht="18.95" customHeight="1">
      <c r="A42" s="160" t="s">
        <v>63</v>
      </c>
      <c r="B42" s="406"/>
      <c r="C42" s="298"/>
      <c r="D42" s="407"/>
      <c r="E42" s="190">
        <v>30</v>
      </c>
      <c r="F42" s="191">
        <f t="shared" si="50"/>
        <v>90.909090909090907</v>
      </c>
      <c r="G42" s="192">
        <v>0</v>
      </c>
      <c r="H42" s="193">
        <f t="shared" si="38"/>
        <v>0</v>
      </c>
      <c r="I42" s="277">
        <v>3</v>
      </c>
      <c r="J42" s="193">
        <f t="shared" si="39"/>
        <v>9.0909090909090917</v>
      </c>
      <c r="K42" s="277">
        <f t="shared" si="40"/>
        <v>33</v>
      </c>
      <c r="L42" s="331"/>
      <c r="M42" s="187">
        <v>0</v>
      </c>
      <c r="N42" s="194">
        <v>0</v>
      </c>
      <c r="O42" s="196">
        <v>0</v>
      </c>
      <c r="P42" s="279">
        <v>0</v>
      </c>
      <c r="Q42" s="189">
        <v>1</v>
      </c>
      <c r="R42" s="194">
        <f t="shared" si="47"/>
        <v>33.333333333333329</v>
      </c>
      <c r="S42" s="196">
        <f t="shared" si="43"/>
        <v>1</v>
      </c>
      <c r="T42" s="197">
        <f>S42/K42*100</f>
        <v>3.0303030303030303</v>
      </c>
    </row>
    <row r="43" spans="1:20" ht="18.95" customHeight="1">
      <c r="A43" s="160" t="s">
        <v>64</v>
      </c>
      <c r="B43" s="406"/>
      <c r="C43" s="298"/>
      <c r="D43" s="407"/>
      <c r="E43" s="190">
        <v>13</v>
      </c>
      <c r="F43" s="191">
        <f t="shared" si="50"/>
        <v>72.222222222222214</v>
      </c>
      <c r="G43" s="192">
        <v>0</v>
      </c>
      <c r="H43" s="193">
        <f t="shared" si="38"/>
        <v>0</v>
      </c>
      <c r="I43" s="277">
        <v>5</v>
      </c>
      <c r="J43" s="193">
        <f t="shared" si="39"/>
        <v>27.777777777777779</v>
      </c>
      <c r="K43" s="277">
        <f t="shared" si="40"/>
        <v>18</v>
      </c>
      <c r="L43" s="331"/>
      <c r="M43" s="187">
        <v>0</v>
      </c>
      <c r="N43" s="194">
        <v>0</v>
      </c>
      <c r="O43" s="196">
        <v>0</v>
      </c>
      <c r="P43" s="279">
        <v>0</v>
      </c>
      <c r="Q43" s="330">
        <v>0</v>
      </c>
      <c r="R43" s="300">
        <f t="shared" si="47"/>
        <v>0</v>
      </c>
      <c r="S43" s="196">
        <f t="shared" si="43"/>
        <v>0</v>
      </c>
      <c r="T43" s="197">
        <v>0</v>
      </c>
    </row>
    <row r="44" spans="1:20" ht="18.95" customHeight="1" thickBot="1">
      <c r="A44" s="161" t="s">
        <v>65</v>
      </c>
      <c r="B44" s="406"/>
      <c r="C44" s="298"/>
      <c r="D44" s="407"/>
      <c r="E44" s="283">
        <v>1</v>
      </c>
      <c r="F44" s="284">
        <f t="shared" si="50"/>
        <v>100</v>
      </c>
      <c r="G44" s="285">
        <v>0</v>
      </c>
      <c r="H44" s="286">
        <f t="shared" si="38"/>
        <v>0</v>
      </c>
      <c r="I44" s="287"/>
      <c r="J44" s="286"/>
      <c r="K44" s="287">
        <f t="shared" si="40"/>
        <v>1</v>
      </c>
      <c r="L44" s="331"/>
      <c r="M44" s="280">
        <v>0</v>
      </c>
      <c r="N44" s="289">
        <v>0</v>
      </c>
      <c r="O44" s="290">
        <v>0</v>
      </c>
      <c r="P44" s="291">
        <v>0</v>
      </c>
      <c r="Q44" s="282">
        <v>0</v>
      </c>
      <c r="R44" s="332">
        <v>0</v>
      </c>
      <c r="S44" s="290">
        <f t="shared" si="43"/>
        <v>0</v>
      </c>
      <c r="T44" s="197">
        <v>0</v>
      </c>
    </row>
    <row r="45" spans="1:20" ht="18.95" customHeight="1">
      <c r="A45" s="266" t="s">
        <v>66</v>
      </c>
      <c r="B45" s="398">
        <f>SUM(B46:B47)</f>
        <v>7125</v>
      </c>
      <c r="C45" s="268">
        <f>SUM(C46:C47)</f>
        <v>310</v>
      </c>
      <c r="D45" s="399">
        <f>SUM(D46:D47)</f>
        <v>326</v>
      </c>
      <c r="E45" s="267">
        <f>SUM(E46:E47)</f>
        <v>132</v>
      </c>
      <c r="F45" s="333">
        <f>E45/K45*100</f>
        <v>44.444444444444443</v>
      </c>
      <c r="G45" s="273">
        <f>SUM(G46:G47)</f>
        <v>62</v>
      </c>
      <c r="H45" s="334">
        <f t="shared" si="38"/>
        <v>20.875420875420875</v>
      </c>
      <c r="I45" s="269">
        <f>SUM(I46:I47)</f>
        <v>103</v>
      </c>
      <c r="J45" s="334">
        <f t="shared" ref="J45" si="51">I45/K45*100</f>
        <v>34.680134680134678</v>
      </c>
      <c r="K45" s="269">
        <f>SUM(K46:K47)</f>
        <v>297</v>
      </c>
      <c r="L45" s="333">
        <f t="shared" ref="L45" si="52">+K45/D45*100</f>
        <v>91.104294478527606</v>
      </c>
      <c r="M45" s="267">
        <f>SUM(M46:M47)</f>
        <v>15</v>
      </c>
      <c r="N45" s="333">
        <f>M45/E45*100</f>
        <v>11.363636363636363</v>
      </c>
      <c r="O45" s="273">
        <f>SUM(O46:O47)</f>
        <v>5</v>
      </c>
      <c r="P45" s="334">
        <f>O45/G45*100</f>
        <v>8.064516129032258</v>
      </c>
      <c r="Q45" s="334">
        <f>SUM(Q46:Q47)</f>
        <v>1</v>
      </c>
      <c r="R45" s="334">
        <f>Q45/I45*100</f>
        <v>0.97087378640776689</v>
      </c>
      <c r="S45" s="273">
        <f>SUM(S46:S47)</f>
        <v>22</v>
      </c>
      <c r="T45" s="337">
        <f>S45/K45*100</f>
        <v>7.4074074074074066</v>
      </c>
    </row>
    <row r="46" spans="1:20" ht="18.95" customHeight="1">
      <c r="A46" s="225" t="s">
        <v>67</v>
      </c>
      <c r="B46" s="402">
        <v>3493</v>
      </c>
      <c r="C46" s="281">
        <v>100</v>
      </c>
      <c r="D46" s="403">
        <v>92</v>
      </c>
      <c r="E46" s="283" t="s">
        <v>102</v>
      </c>
      <c r="F46" s="284" t="s">
        <v>102</v>
      </c>
      <c r="G46" s="285" t="s">
        <v>102</v>
      </c>
      <c r="H46" s="286" t="s">
        <v>102</v>
      </c>
      <c r="I46" s="287">
        <v>92</v>
      </c>
      <c r="J46" s="286">
        <f>I46/K46*100</f>
        <v>100</v>
      </c>
      <c r="K46" s="287">
        <f>SUM(I46,E46,G46)</f>
        <v>92</v>
      </c>
      <c r="L46" s="194">
        <f>+K46/D46*100</f>
        <v>100</v>
      </c>
      <c r="M46" s="280" t="s">
        <v>102</v>
      </c>
      <c r="N46" s="289" t="s">
        <v>102</v>
      </c>
      <c r="O46" s="290" t="s">
        <v>102</v>
      </c>
      <c r="P46" s="291" t="s">
        <v>102</v>
      </c>
      <c r="Q46" s="282">
        <v>1</v>
      </c>
      <c r="R46" s="289">
        <f>Q46/I46*100</f>
        <v>1.0869565217391304</v>
      </c>
      <c r="S46" s="290">
        <f t="shared" ref="S46:S53" si="53">SUM(M46,O46,Q46)</f>
        <v>1</v>
      </c>
      <c r="T46" s="292">
        <f>S46/K46*100</f>
        <v>1.0869565217391304</v>
      </c>
    </row>
    <row r="47" spans="1:20" ht="18.95" customHeight="1">
      <c r="A47" s="213" t="s">
        <v>68</v>
      </c>
      <c r="B47" s="400">
        <f>SUM(B48:B50)</f>
        <v>3632</v>
      </c>
      <c r="C47" s="188">
        <f>SUM(C48:C50)</f>
        <v>210</v>
      </c>
      <c r="D47" s="401">
        <f>SUM(D48:D50)</f>
        <v>234</v>
      </c>
      <c r="E47" s="187">
        <f>SUM(E48:E50)</f>
        <v>132</v>
      </c>
      <c r="F47" s="194">
        <f>E47/K47*100</f>
        <v>64.390243902439025</v>
      </c>
      <c r="G47" s="339">
        <f>SUM(G48:G50)</f>
        <v>62</v>
      </c>
      <c r="H47" s="279">
        <f>G47/K47*100</f>
        <v>30.243902439024389</v>
      </c>
      <c r="I47" s="340">
        <f>SUM(I48:I50)</f>
        <v>11</v>
      </c>
      <c r="J47" s="279">
        <f>I47/K47*100</f>
        <v>5.3658536585365857</v>
      </c>
      <c r="K47" s="189">
        <f>SUM(K48:K50)</f>
        <v>205</v>
      </c>
      <c r="L47" s="194">
        <f>+K47/D47*100</f>
        <v>87.606837606837601</v>
      </c>
      <c r="M47" s="187">
        <f>SUM(M48:M50)</f>
        <v>15</v>
      </c>
      <c r="N47" s="194">
        <f>M47/E47*100</f>
        <v>11.363636363636363</v>
      </c>
      <c r="O47" s="196">
        <f>SUM(O48:O50)</f>
        <v>5</v>
      </c>
      <c r="P47" s="279">
        <f>O47/G47*100</f>
        <v>8.064516129032258</v>
      </c>
      <c r="Q47" s="189">
        <v>0</v>
      </c>
      <c r="R47" s="194">
        <v>0</v>
      </c>
      <c r="S47" s="196">
        <f>SUM(S48:S50)</f>
        <v>21</v>
      </c>
      <c r="T47" s="197">
        <f>S47/K47*100</f>
        <v>10.24390243902439</v>
      </c>
    </row>
    <row r="48" spans="1:20" ht="18.95" customHeight="1">
      <c r="A48" s="13" t="s">
        <v>69</v>
      </c>
      <c r="B48" s="861">
        <f>3212+28+290+90+6+4+2</f>
        <v>3632</v>
      </c>
      <c r="C48" s="862">
        <v>210</v>
      </c>
      <c r="D48" s="863">
        <f>228+4+2</f>
        <v>234</v>
      </c>
      <c r="E48" s="471">
        <v>132</v>
      </c>
      <c r="F48" s="868">
        <f>E48/K48*100</f>
        <v>68.041237113402062</v>
      </c>
      <c r="G48" s="473">
        <v>62</v>
      </c>
      <c r="H48" s="472">
        <f>G48/K48*100</f>
        <v>31.958762886597935</v>
      </c>
      <c r="I48" s="221">
        <v>0</v>
      </c>
      <c r="J48" s="220">
        <v>0</v>
      </c>
      <c r="K48" s="221">
        <f t="shared" ref="K48:K50" si="54">SUM(I48,E48,G48)</f>
        <v>194</v>
      </c>
      <c r="L48" s="194">
        <f>+K48/D48*100</f>
        <v>82.90598290598291</v>
      </c>
      <c r="M48" s="214">
        <v>15</v>
      </c>
      <c r="N48" s="143">
        <f>M48/E48*100</f>
        <v>11.363636363636363</v>
      </c>
      <c r="O48" s="223">
        <v>5</v>
      </c>
      <c r="P48" s="141">
        <f>O48/G48*100</f>
        <v>8.064516129032258</v>
      </c>
      <c r="Q48" s="216" t="s">
        <v>102</v>
      </c>
      <c r="R48" s="143" t="s">
        <v>102</v>
      </c>
      <c r="S48" s="223">
        <f t="shared" si="53"/>
        <v>20</v>
      </c>
      <c r="T48" s="224">
        <f>S48/K48*100</f>
        <v>10.309278350515463</v>
      </c>
    </row>
    <row r="49" spans="1:20" ht="18.95" customHeight="1">
      <c r="A49" s="13" t="s">
        <v>70</v>
      </c>
      <c r="B49" s="866"/>
      <c r="C49" s="200"/>
      <c r="D49" s="867"/>
      <c r="E49" s="870"/>
      <c r="F49" s="871"/>
      <c r="G49" s="872"/>
      <c r="H49" s="873"/>
      <c r="I49" s="346">
        <v>6</v>
      </c>
      <c r="J49" s="345">
        <f>I49/K49*100</f>
        <v>100</v>
      </c>
      <c r="K49" s="346">
        <f t="shared" si="54"/>
        <v>6</v>
      </c>
      <c r="L49" s="194">
        <f>+K49/D48*100</f>
        <v>2.5641025641025639</v>
      </c>
      <c r="M49" s="136" t="s">
        <v>102</v>
      </c>
      <c r="N49" s="137" t="s">
        <v>102</v>
      </c>
      <c r="O49" s="142" t="s">
        <v>102</v>
      </c>
      <c r="P49" s="144" t="s">
        <v>102</v>
      </c>
      <c r="Q49" s="145" t="s">
        <v>102</v>
      </c>
      <c r="R49" s="143" t="s">
        <v>102</v>
      </c>
      <c r="S49" s="142">
        <f t="shared" si="53"/>
        <v>0</v>
      </c>
      <c r="T49" s="224">
        <v>0</v>
      </c>
    </row>
    <row r="50" spans="1:20" ht="18.95" customHeight="1" thickBot="1">
      <c r="A50" s="14" t="s">
        <v>71</v>
      </c>
      <c r="B50" s="864"/>
      <c r="C50" s="433"/>
      <c r="D50" s="865"/>
      <c r="E50" s="435"/>
      <c r="F50" s="869"/>
      <c r="G50" s="437"/>
      <c r="H50" s="436"/>
      <c r="I50" s="221">
        <v>5</v>
      </c>
      <c r="J50" s="220">
        <f t="shared" ref="J50" si="55">I50/K50*100</f>
        <v>100</v>
      </c>
      <c r="K50" s="221">
        <f t="shared" si="54"/>
        <v>5</v>
      </c>
      <c r="L50" s="194">
        <f>+K50/D48*100</f>
        <v>2.1367521367521367</v>
      </c>
      <c r="M50" s="214" t="s">
        <v>102</v>
      </c>
      <c r="N50" s="143" t="s">
        <v>102</v>
      </c>
      <c r="O50" s="223"/>
      <c r="P50" s="155"/>
      <c r="Q50" s="157">
        <v>1</v>
      </c>
      <c r="R50" s="151">
        <f>Q50/I50*100</f>
        <v>20</v>
      </c>
      <c r="S50" s="156">
        <f t="shared" si="53"/>
        <v>1</v>
      </c>
      <c r="T50" s="224">
        <f t="shared" ref="T50:T55" si="56">S50/K50*100</f>
        <v>20</v>
      </c>
    </row>
    <row r="51" spans="1:20" ht="18.95" customHeight="1">
      <c r="A51" s="266" t="s">
        <v>72</v>
      </c>
      <c r="B51" s="398">
        <f>SUM(B52)</f>
        <v>1108</v>
      </c>
      <c r="C51" s="268">
        <f t="shared" ref="C51:D51" si="57">SUM(C52)</f>
        <v>80</v>
      </c>
      <c r="D51" s="399">
        <f t="shared" si="57"/>
        <v>78</v>
      </c>
      <c r="E51" s="267">
        <v>0</v>
      </c>
      <c r="F51" s="333">
        <v>0</v>
      </c>
      <c r="G51" s="273">
        <f t="shared" ref="G51" si="58">SUM(G52)</f>
        <v>6</v>
      </c>
      <c r="H51" s="334">
        <f>G51/K51*100</f>
        <v>7.7922077922077921</v>
      </c>
      <c r="I51" s="347">
        <f>SUM(I52)</f>
        <v>71</v>
      </c>
      <c r="J51" s="334">
        <f>I51/K51*100</f>
        <v>92.20779220779221</v>
      </c>
      <c r="K51" s="167">
        <f>SUM(I51,E51,G51)</f>
        <v>77</v>
      </c>
      <c r="L51" s="168">
        <f t="shared" ref="L51:L52" si="59">+K51/D51*100</f>
        <v>98.71794871794873</v>
      </c>
      <c r="M51" s="165">
        <v>0</v>
      </c>
      <c r="N51" s="333">
        <v>0</v>
      </c>
      <c r="O51" s="271">
        <f>SUM(O52)</f>
        <v>2</v>
      </c>
      <c r="P51" s="333">
        <f>O51/G51*100</f>
        <v>33.333333333333329</v>
      </c>
      <c r="Q51" s="271">
        <f>SUM(Q52)</f>
        <v>3</v>
      </c>
      <c r="R51" s="333">
        <f>Q51/I51*100</f>
        <v>4.225352112676056</v>
      </c>
      <c r="S51" s="273">
        <f t="shared" si="53"/>
        <v>5</v>
      </c>
      <c r="T51" s="337">
        <f t="shared" si="56"/>
        <v>6.4935064935064926</v>
      </c>
    </row>
    <row r="52" spans="1:20" ht="18.95" customHeight="1" thickBot="1">
      <c r="A52" s="349" t="s">
        <v>73</v>
      </c>
      <c r="B52" s="409">
        <f>1093+15</f>
        <v>1108</v>
      </c>
      <c r="C52" s="351">
        <v>80</v>
      </c>
      <c r="D52" s="410">
        <f>71+7</f>
        <v>78</v>
      </c>
      <c r="E52" s="350">
        <v>0</v>
      </c>
      <c r="F52" s="353">
        <v>0</v>
      </c>
      <c r="G52" s="354">
        <v>6</v>
      </c>
      <c r="H52" s="355">
        <f>G52/K52*100</f>
        <v>7.7922077922077921</v>
      </c>
      <c r="I52" s="356">
        <v>71</v>
      </c>
      <c r="J52" s="246">
        <f>I52/K52*100</f>
        <v>92.20779220779221</v>
      </c>
      <c r="K52" s="411">
        <f>SUM(I52,E52,G52)</f>
        <v>77</v>
      </c>
      <c r="L52" s="372">
        <f t="shared" si="59"/>
        <v>98.71794871794873</v>
      </c>
      <c r="M52" s="412" t="s">
        <v>102</v>
      </c>
      <c r="N52" s="249" t="s">
        <v>102</v>
      </c>
      <c r="O52" s="250">
        <v>2</v>
      </c>
      <c r="P52" s="251">
        <f>O52/G52*100</f>
        <v>33.333333333333329</v>
      </c>
      <c r="Q52" s="242">
        <v>3</v>
      </c>
      <c r="R52" s="249">
        <f>Q52/I52*100</f>
        <v>4.225352112676056</v>
      </c>
      <c r="S52" s="250">
        <f t="shared" si="53"/>
        <v>5</v>
      </c>
      <c r="T52" s="252">
        <f t="shared" si="56"/>
        <v>6.4935064935064926</v>
      </c>
    </row>
    <row r="53" spans="1:20" ht="18.95" customHeight="1">
      <c r="A53" s="266" t="s">
        <v>74</v>
      </c>
      <c r="B53" s="398">
        <f>SUM(B54)</f>
        <v>971</v>
      </c>
      <c r="C53" s="268">
        <f t="shared" ref="C53:D53" si="60">SUM(C54)</f>
        <v>40</v>
      </c>
      <c r="D53" s="399">
        <f t="shared" si="60"/>
        <v>42</v>
      </c>
      <c r="E53" s="232">
        <f t="shared" ref="E53:I53" si="61">SUM(E54)</f>
        <v>0</v>
      </c>
      <c r="F53" s="358">
        <f t="shared" si="61"/>
        <v>0</v>
      </c>
      <c r="G53" s="271">
        <f t="shared" si="61"/>
        <v>0</v>
      </c>
      <c r="H53" s="359">
        <f t="shared" si="61"/>
        <v>0</v>
      </c>
      <c r="I53" s="269">
        <f t="shared" si="61"/>
        <v>42</v>
      </c>
      <c r="J53" s="360">
        <f>I53/K53*100</f>
        <v>100</v>
      </c>
      <c r="K53" s="361">
        <f t="shared" ref="K53" si="62">SUM(E53,G53,I53)</f>
        <v>42</v>
      </c>
      <c r="L53" s="168">
        <f t="shared" ref="L53" si="63">+K53/D53*100</f>
        <v>100</v>
      </c>
      <c r="M53" s="267">
        <f>SUM(M54)</f>
        <v>0</v>
      </c>
      <c r="N53" s="269">
        <f>SUM(N54)</f>
        <v>0</v>
      </c>
      <c r="O53" s="271">
        <f>SUM(O54)</f>
        <v>0</v>
      </c>
      <c r="P53" s="359">
        <f>SUM(P54)</f>
        <v>0</v>
      </c>
      <c r="Q53" s="269">
        <f>SUM(Q54)</f>
        <v>0</v>
      </c>
      <c r="R53" s="336">
        <f>Q53/I53*100</f>
        <v>0</v>
      </c>
      <c r="S53" s="273">
        <f t="shared" si="53"/>
        <v>0</v>
      </c>
      <c r="T53" s="348">
        <f t="shared" si="56"/>
        <v>0</v>
      </c>
    </row>
    <row r="54" spans="1:20" ht="18.95" customHeight="1" thickBot="1">
      <c r="A54" s="362" t="s">
        <v>75</v>
      </c>
      <c r="B54" s="413">
        <v>971</v>
      </c>
      <c r="C54" s="364">
        <v>40</v>
      </c>
      <c r="D54" s="414">
        <f>41+1</f>
        <v>42</v>
      </c>
      <c r="E54" s="366">
        <v>0</v>
      </c>
      <c r="F54" s="367">
        <v>0</v>
      </c>
      <c r="G54" s="368">
        <v>0</v>
      </c>
      <c r="H54" s="369">
        <v>0</v>
      </c>
      <c r="I54" s="370">
        <v>42</v>
      </c>
      <c r="J54" s="371">
        <f>I54/K54*100</f>
        <v>100</v>
      </c>
      <c r="K54" s="370">
        <f>SUM(I54,E54,G54)</f>
        <v>42</v>
      </c>
      <c r="L54" s="357">
        <f>+K54/D54*100</f>
        <v>100</v>
      </c>
      <c r="M54" s="366">
        <v>0</v>
      </c>
      <c r="N54" s="367">
        <v>0</v>
      </c>
      <c r="O54" s="368">
        <v>0</v>
      </c>
      <c r="P54" s="369">
        <v>0</v>
      </c>
      <c r="Q54" s="365">
        <v>0</v>
      </c>
      <c r="R54" s="372">
        <v>0</v>
      </c>
      <c r="S54" s="375">
        <f t="shared" ref="S54" si="64">SUM(M54,O54,Q54)</f>
        <v>0</v>
      </c>
      <c r="T54" s="357">
        <f t="shared" si="56"/>
        <v>0</v>
      </c>
    </row>
    <row r="55" spans="1:20" s="15" customFormat="1" ht="18" customHeight="1" thickBot="1">
      <c r="A55" s="415" t="s">
        <v>76</v>
      </c>
      <c r="B55" s="416">
        <f>SUM(B6,B14,B17,B21,B45,B51,B53)</f>
        <v>22077</v>
      </c>
      <c r="C55" s="378">
        <f t="shared" ref="C55:D55" si="65">SUM(C6,C14,C17,C21,C45,C51,C53)</f>
        <v>3170</v>
      </c>
      <c r="D55" s="417">
        <f t="shared" si="65"/>
        <v>3991</v>
      </c>
      <c r="E55" s="377">
        <f>SUM(E6,E14,E17,E21,E45,E51,E53)</f>
        <v>2657</v>
      </c>
      <c r="F55" s="380">
        <f>E55/K55*100</f>
        <v>70.589798087141347</v>
      </c>
      <c r="G55" s="381">
        <f>SUM(G6,G14,G17,G21,G45,G51,G53)</f>
        <v>386</v>
      </c>
      <c r="H55" s="382">
        <f>G55/K55*100</f>
        <v>10.255047821466524</v>
      </c>
      <c r="I55" s="379">
        <f>SUM(I6,I14,I17,I21,I45,I51,I53)</f>
        <v>721</v>
      </c>
      <c r="J55" s="382">
        <f>I55/K55*100</f>
        <v>19.155154091392134</v>
      </c>
      <c r="K55" s="379">
        <f>SUM(K6,K14,K17,K21,K45,K51,K53)</f>
        <v>3764</v>
      </c>
      <c r="L55" s="383">
        <f t="shared" ref="L55" si="66">+K55/D55*100</f>
        <v>94.312202455524925</v>
      </c>
      <c r="M55" s="377">
        <f>SUM(M6,M14,M17,M21,M45,M51,M53)</f>
        <v>160</v>
      </c>
      <c r="N55" s="380">
        <f>M55/E55*100</f>
        <v>6.0218291305984186</v>
      </c>
      <c r="O55" s="381">
        <f>SUM(O6,O14,O17,O21,O45,O51,O53)</f>
        <v>26</v>
      </c>
      <c r="P55" s="382">
        <f>O55/G55*100</f>
        <v>6.7357512953367875</v>
      </c>
      <c r="Q55" s="379">
        <f>SUM(Q6,Q14,Q17,Q21,Q45,Q51,Q53)</f>
        <v>92</v>
      </c>
      <c r="R55" s="380">
        <f>Q55/I55*100</f>
        <v>12.76005547850208</v>
      </c>
      <c r="S55" s="418">
        <f>SUM(S6,S14,S17,S21,S45,S51,S53)</f>
        <v>279</v>
      </c>
      <c r="T55" s="419">
        <f t="shared" si="56"/>
        <v>7.4123273113708823</v>
      </c>
    </row>
    <row r="56" spans="1:20" ht="160.5" customHeight="1">
      <c r="A56" s="927" t="s">
        <v>115</v>
      </c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</row>
    <row r="57" spans="1:20" ht="24">
      <c r="A57" s="16" t="s">
        <v>77</v>
      </c>
      <c r="Q57" s="874" t="s">
        <v>79</v>
      </c>
      <c r="T57" s="22"/>
    </row>
  </sheetData>
  <mergeCells count="16">
    <mergeCell ref="Q4:R4"/>
    <mergeCell ref="A56:T56"/>
    <mergeCell ref="A1:T1"/>
    <mergeCell ref="A3:A5"/>
    <mergeCell ref="B3:B5"/>
    <mergeCell ref="C3:C5"/>
    <mergeCell ref="D3:D5"/>
    <mergeCell ref="E3:J3"/>
    <mergeCell ref="K3:L4"/>
    <mergeCell ref="M3:R3"/>
    <mergeCell ref="S3:T4"/>
    <mergeCell ref="E4:F4"/>
    <mergeCell ref="G4:H4"/>
    <mergeCell ref="I4:J4"/>
    <mergeCell ref="M4:N4"/>
    <mergeCell ref="O4:P4"/>
  </mergeCells>
  <pageMargins left="0.55118110236220474" right="0.59055118110236227" top="0.51181102362204722" bottom="0.31496062992125984" header="0.31496062992125984" footer="0.15748031496062992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57"/>
  <sheetViews>
    <sheetView showZeros="0" view="pageBreakPreview" zoomScaleNormal="100" zoomScaleSheetLayoutView="100" workbookViewId="0">
      <selection activeCell="N12" sqref="N12"/>
    </sheetView>
  </sheetViews>
  <sheetFormatPr defaultColWidth="8.85546875" defaultRowHeight="15"/>
  <cols>
    <col min="1" max="1" width="31.5703125" style="20" customWidth="1"/>
    <col min="2" max="2" width="9.85546875" style="17" customWidth="1"/>
    <col min="3" max="3" width="8.42578125" style="17" customWidth="1"/>
    <col min="4" max="4" width="8.85546875" style="17" customWidth="1"/>
    <col min="5" max="5" width="5.85546875" style="17" customWidth="1"/>
    <col min="6" max="6" width="9.5703125" style="18" bestFit="1" customWidth="1"/>
    <col min="7" max="7" width="5.42578125" style="19" bestFit="1" customWidth="1"/>
    <col min="8" max="8" width="9.5703125" style="18" bestFit="1" customWidth="1"/>
    <col min="9" max="9" width="5.42578125" style="17" bestFit="1" customWidth="1"/>
    <col min="10" max="10" width="8.140625" style="18" customWidth="1"/>
    <col min="11" max="11" width="8.7109375" style="19" customWidth="1"/>
    <col min="12" max="12" width="7.7109375" style="18" customWidth="1"/>
    <col min="13" max="13" width="6.140625" style="19" customWidth="1"/>
    <col min="14" max="14" width="8" style="18" customWidth="1"/>
    <col min="15" max="15" width="5.140625" style="19" customWidth="1"/>
    <col min="16" max="16" width="8.140625" style="18" customWidth="1"/>
    <col min="17" max="17" width="5.85546875" style="19" customWidth="1"/>
    <col min="18" max="18" width="8.140625" style="18" customWidth="1"/>
    <col min="19" max="19" width="8.85546875" style="19" customWidth="1"/>
    <col min="20" max="20" width="9.5703125" style="18" bestFit="1" customWidth="1"/>
    <col min="21" max="16384" width="8.85546875" style="1"/>
  </cols>
  <sheetData>
    <row r="1" spans="1:20" ht="25.9" customHeight="1">
      <c r="A1" s="928" t="s">
        <v>80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</row>
    <row r="2" spans="1:20" ht="23.25" customHeight="1" thickBot="1">
      <c r="A2" s="2" t="s">
        <v>1</v>
      </c>
      <c r="B2" s="3"/>
      <c r="C2" s="3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</row>
    <row r="3" spans="1:20" ht="43.15" customHeight="1">
      <c r="A3" s="950" t="s">
        <v>2</v>
      </c>
      <c r="B3" s="953" t="s">
        <v>3</v>
      </c>
      <c r="C3" s="933" t="s">
        <v>4</v>
      </c>
      <c r="D3" s="955" t="s">
        <v>5</v>
      </c>
      <c r="E3" s="921" t="s">
        <v>6</v>
      </c>
      <c r="F3" s="922"/>
      <c r="G3" s="922"/>
      <c r="H3" s="922"/>
      <c r="I3" s="922"/>
      <c r="J3" s="945"/>
      <c r="K3" s="937" t="s">
        <v>7</v>
      </c>
      <c r="L3" s="923"/>
      <c r="M3" s="922" t="s">
        <v>81</v>
      </c>
      <c r="N3" s="922"/>
      <c r="O3" s="922"/>
      <c r="P3" s="922"/>
      <c r="Q3" s="922"/>
      <c r="R3" s="922"/>
      <c r="S3" s="937" t="s">
        <v>7</v>
      </c>
      <c r="T3" s="923"/>
    </row>
    <row r="4" spans="1:20" ht="16.149999999999999" customHeight="1">
      <c r="A4" s="951"/>
      <c r="B4" s="954"/>
      <c r="C4" s="934"/>
      <c r="D4" s="956"/>
      <c r="E4" s="944" t="s">
        <v>8</v>
      </c>
      <c r="F4" s="926"/>
      <c r="G4" s="924" t="s">
        <v>9</v>
      </c>
      <c r="H4" s="925"/>
      <c r="I4" s="926" t="s">
        <v>10</v>
      </c>
      <c r="J4" s="925"/>
      <c r="K4" s="940"/>
      <c r="L4" s="941"/>
      <c r="M4" s="944" t="s">
        <v>8</v>
      </c>
      <c r="N4" s="926"/>
      <c r="O4" s="924" t="s">
        <v>9</v>
      </c>
      <c r="P4" s="925"/>
      <c r="Q4" s="926" t="s">
        <v>10</v>
      </c>
      <c r="R4" s="925"/>
      <c r="S4" s="940"/>
      <c r="T4" s="941"/>
    </row>
    <row r="5" spans="1:20" ht="54" customHeight="1" thickBot="1">
      <c r="A5" s="952"/>
      <c r="B5" s="954"/>
      <c r="C5" s="934"/>
      <c r="D5" s="956"/>
      <c r="E5" s="23" t="s">
        <v>11</v>
      </c>
      <c r="F5" s="24" t="s">
        <v>12</v>
      </c>
      <c r="G5" s="25" t="s">
        <v>13</v>
      </c>
      <c r="H5" s="26" t="s">
        <v>14</v>
      </c>
      <c r="I5" s="27" t="s">
        <v>15</v>
      </c>
      <c r="J5" s="26" t="s">
        <v>16</v>
      </c>
      <c r="K5" s="28" t="s">
        <v>17</v>
      </c>
      <c r="L5" s="26" t="s">
        <v>18</v>
      </c>
      <c r="M5" s="23" t="s">
        <v>19</v>
      </c>
      <c r="N5" s="24" t="s">
        <v>20</v>
      </c>
      <c r="O5" s="25" t="s">
        <v>21</v>
      </c>
      <c r="P5" s="26" t="s">
        <v>22</v>
      </c>
      <c r="Q5" s="27" t="s">
        <v>23</v>
      </c>
      <c r="R5" s="24" t="s">
        <v>24</v>
      </c>
      <c r="S5" s="29" t="s">
        <v>25</v>
      </c>
      <c r="T5" s="30" t="s">
        <v>26</v>
      </c>
    </row>
    <row r="6" spans="1:20" ht="16.899999999999999" customHeight="1">
      <c r="A6" s="164" t="s">
        <v>27</v>
      </c>
      <c r="B6" s="165">
        <f>SUM(B7:B8)</f>
        <v>564</v>
      </c>
      <c r="C6" s="166">
        <f>SUM(C7:C8)</f>
        <v>180</v>
      </c>
      <c r="D6" s="167">
        <f>SUM(D7:D8)</f>
        <v>137</v>
      </c>
      <c r="E6" s="165">
        <f>SUM(E7:E8)</f>
        <v>62</v>
      </c>
      <c r="F6" s="168">
        <f>E6/K6*100</f>
        <v>47.328244274809158</v>
      </c>
      <c r="G6" s="169">
        <f>SUM(G7:G8)</f>
        <v>11</v>
      </c>
      <c r="H6" s="170">
        <f t="shared" ref="H6" si="0">G6/K6*100</f>
        <v>8.3969465648854964</v>
      </c>
      <c r="I6" s="167">
        <f>SUM(I7:I8)</f>
        <v>58</v>
      </c>
      <c r="J6" s="170">
        <f t="shared" ref="J6:J14" si="1">I6/K6*100</f>
        <v>44.274809160305345</v>
      </c>
      <c r="K6" s="167">
        <f>SUM(K7:K8)</f>
        <v>131</v>
      </c>
      <c r="L6" s="168">
        <f>+K6/D6*100</f>
        <v>95.620437956204384</v>
      </c>
      <c r="M6" s="165">
        <f>SUM(M7:M8)</f>
        <v>1</v>
      </c>
      <c r="N6" s="168">
        <f>M6/E6*100</f>
        <v>1.6129032258064515</v>
      </c>
      <c r="O6" s="169">
        <f>SUM(O7:O8)</f>
        <v>0</v>
      </c>
      <c r="P6" s="170">
        <f t="shared" ref="P6" si="2">O6/G6*100</f>
        <v>0</v>
      </c>
      <c r="Q6" s="167">
        <f>SUM(Q7:Q8)</f>
        <v>1</v>
      </c>
      <c r="R6" s="168">
        <f>Q6/I6*100</f>
        <v>1.7241379310344827</v>
      </c>
      <c r="S6" s="169">
        <f>SUM(S7:S8)</f>
        <v>2</v>
      </c>
      <c r="T6" s="171">
        <f>S6/K6*100</f>
        <v>1.5267175572519083</v>
      </c>
    </row>
    <row r="7" spans="1:20" ht="16.899999999999999" customHeight="1">
      <c r="A7" s="172" t="s">
        <v>28</v>
      </c>
      <c r="B7" s="173">
        <f>234+1+3+5+2+30</f>
        <v>275</v>
      </c>
      <c r="C7" s="174">
        <v>60</v>
      </c>
      <c r="D7" s="175">
        <f>69+1+2+13</f>
        <v>85</v>
      </c>
      <c r="E7" s="176">
        <v>62</v>
      </c>
      <c r="F7" s="177">
        <f>E7/K7*100</f>
        <v>78.48101265822784</v>
      </c>
      <c r="G7" s="178">
        <v>11</v>
      </c>
      <c r="H7" s="179">
        <f>G7/K7*100</f>
        <v>13.924050632911392</v>
      </c>
      <c r="I7" s="180">
        <v>6</v>
      </c>
      <c r="J7" s="179">
        <f t="shared" si="1"/>
        <v>7.59493670886076</v>
      </c>
      <c r="K7" s="180">
        <f t="shared" ref="K7:K54" si="3">SUM(E7,G7,I7)</f>
        <v>79</v>
      </c>
      <c r="L7" s="181">
        <f t="shared" ref="L7:L9" si="4">+K7/D7*100</f>
        <v>92.941176470588232</v>
      </c>
      <c r="M7" s="173">
        <v>1</v>
      </c>
      <c r="N7" s="182">
        <f>M7/E7*100</f>
        <v>1.6129032258064515</v>
      </c>
      <c r="O7" s="183">
        <v>0</v>
      </c>
      <c r="P7" s="184">
        <v>0</v>
      </c>
      <c r="Q7" s="175">
        <v>0</v>
      </c>
      <c r="R7" s="182">
        <v>0</v>
      </c>
      <c r="S7" s="183">
        <f t="shared" ref="S7:S54" si="5">SUM(M7,O7,Q7)</f>
        <v>1</v>
      </c>
      <c r="T7" s="185">
        <f>S7/K7*100</f>
        <v>1.2658227848101267</v>
      </c>
    </row>
    <row r="8" spans="1:20" ht="16.899999999999999" customHeight="1">
      <c r="A8" s="186" t="s">
        <v>29</v>
      </c>
      <c r="B8" s="187">
        <f>+B9</f>
        <v>289</v>
      </c>
      <c r="C8" s="188">
        <f t="shared" ref="C8:D8" si="6">+C9</f>
        <v>120</v>
      </c>
      <c r="D8" s="189">
        <f t="shared" si="6"/>
        <v>52</v>
      </c>
      <c r="E8" s="190">
        <v>0</v>
      </c>
      <c r="F8" s="191">
        <v>0</v>
      </c>
      <c r="G8" s="192">
        <v>0</v>
      </c>
      <c r="H8" s="193">
        <v>0</v>
      </c>
      <c r="I8" s="189">
        <f>SUM(I9:I13)</f>
        <v>52</v>
      </c>
      <c r="J8" s="193">
        <f t="shared" si="1"/>
        <v>100</v>
      </c>
      <c r="K8" s="189">
        <f>SUM(K9:K13)</f>
        <v>52</v>
      </c>
      <c r="L8" s="194">
        <f t="shared" si="4"/>
        <v>100</v>
      </c>
      <c r="M8" s="187">
        <f>+M9</f>
        <v>0</v>
      </c>
      <c r="N8" s="195">
        <f>+N9</f>
        <v>0</v>
      </c>
      <c r="O8" s="196">
        <f>+O9</f>
        <v>0</v>
      </c>
      <c r="P8" s="195">
        <f>+P9</f>
        <v>0</v>
      </c>
      <c r="Q8" s="189">
        <f>+Q9</f>
        <v>1</v>
      </c>
      <c r="R8" s="143">
        <f>Q8/I8*100</f>
        <v>1.9230769230769231</v>
      </c>
      <c r="S8" s="196">
        <f>+S9</f>
        <v>1</v>
      </c>
      <c r="T8" s="197">
        <f>S8/K8*100</f>
        <v>1.9230769230769231</v>
      </c>
    </row>
    <row r="9" spans="1:20" ht="16.899999999999999" customHeight="1">
      <c r="A9" s="198" t="s">
        <v>30</v>
      </c>
      <c r="B9" s="199">
        <f>37+252</f>
        <v>289</v>
      </c>
      <c r="C9" s="200">
        <v>120</v>
      </c>
      <c r="D9" s="201">
        <f>11+41</f>
        <v>52</v>
      </c>
      <c r="E9" s="202">
        <v>0</v>
      </c>
      <c r="F9" s="203">
        <v>0</v>
      </c>
      <c r="G9" s="204">
        <v>0</v>
      </c>
      <c r="H9" s="205">
        <v>0</v>
      </c>
      <c r="I9" s="206">
        <v>41</v>
      </c>
      <c r="J9" s="205">
        <f t="shared" si="1"/>
        <v>100</v>
      </c>
      <c r="K9" s="206">
        <f t="shared" si="3"/>
        <v>41</v>
      </c>
      <c r="L9" s="205">
        <f t="shared" si="4"/>
        <v>78.84615384615384</v>
      </c>
      <c r="M9" s="207">
        <v>0</v>
      </c>
      <c r="N9" s="208">
        <v>0</v>
      </c>
      <c r="O9" s="209">
        <v>0</v>
      </c>
      <c r="P9" s="210">
        <v>0</v>
      </c>
      <c r="Q9" s="211">
        <v>1</v>
      </c>
      <c r="R9" s="208">
        <f>Q9/I9*100</f>
        <v>2.4390243902439024</v>
      </c>
      <c r="S9" s="209">
        <f t="shared" si="5"/>
        <v>1</v>
      </c>
      <c r="T9" s="212">
        <f>S9/K9*100</f>
        <v>2.4390243902439024</v>
      </c>
    </row>
    <row r="10" spans="1:20" ht="16.899999999999999" customHeight="1">
      <c r="A10" s="213" t="s">
        <v>31</v>
      </c>
      <c r="B10" s="207"/>
      <c r="C10" s="226"/>
      <c r="D10" s="211"/>
      <c r="E10" s="202"/>
      <c r="F10" s="203"/>
      <c r="G10" s="204"/>
      <c r="H10" s="205"/>
      <c r="I10" s="221">
        <v>3</v>
      </c>
      <c r="J10" s="220">
        <f t="shared" si="1"/>
        <v>100</v>
      </c>
      <c r="K10" s="221">
        <f t="shared" si="3"/>
        <v>3</v>
      </c>
      <c r="L10" s="222"/>
      <c r="M10" s="214"/>
      <c r="N10" s="143"/>
      <c r="O10" s="223"/>
      <c r="P10" s="141"/>
      <c r="Q10" s="216"/>
      <c r="R10" s="143"/>
      <c r="S10" s="223">
        <f t="shared" si="5"/>
        <v>0</v>
      </c>
      <c r="T10" s="224">
        <f t="shared" ref="T10:T14" si="7">S10/K10*100</f>
        <v>0</v>
      </c>
    </row>
    <row r="11" spans="1:20" ht="16.899999999999999" customHeight="1">
      <c r="A11" s="213" t="s">
        <v>32</v>
      </c>
      <c r="B11" s="207"/>
      <c r="C11" s="226"/>
      <c r="D11" s="211"/>
      <c r="E11" s="202"/>
      <c r="F11" s="203"/>
      <c r="G11" s="204"/>
      <c r="H11" s="205"/>
      <c r="I11" s="221">
        <v>3</v>
      </c>
      <c r="J11" s="220">
        <f t="shared" si="1"/>
        <v>100</v>
      </c>
      <c r="K11" s="221">
        <f t="shared" si="3"/>
        <v>3</v>
      </c>
      <c r="L11" s="222"/>
      <c r="M11" s="214"/>
      <c r="N11" s="143"/>
      <c r="O11" s="223"/>
      <c r="P11" s="141"/>
      <c r="Q11" s="216"/>
      <c r="R11" s="143"/>
      <c r="S11" s="223">
        <f t="shared" si="5"/>
        <v>0</v>
      </c>
      <c r="T11" s="224">
        <f t="shared" si="7"/>
        <v>0</v>
      </c>
    </row>
    <row r="12" spans="1:20" ht="16.899999999999999" customHeight="1">
      <c r="A12" s="213" t="s">
        <v>33</v>
      </c>
      <c r="B12" s="207"/>
      <c r="C12" s="226"/>
      <c r="D12" s="211"/>
      <c r="E12" s="202"/>
      <c r="F12" s="203"/>
      <c r="G12" s="204"/>
      <c r="H12" s="205"/>
      <c r="I12" s="221">
        <v>2</v>
      </c>
      <c r="J12" s="220">
        <f t="shared" si="1"/>
        <v>100</v>
      </c>
      <c r="K12" s="221">
        <f t="shared" si="3"/>
        <v>2</v>
      </c>
      <c r="L12" s="222"/>
      <c r="M12" s="214"/>
      <c r="N12" s="143"/>
      <c r="O12" s="223"/>
      <c r="P12" s="141"/>
      <c r="Q12" s="216"/>
      <c r="R12" s="143"/>
      <c r="S12" s="223">
        <f t="shared" si="5"/>
        <v>0</v>
      </c>
      <c r="T12" s="224">
        <f t="shared" si="7"/>
        <v>0</v>
      </c>
    </row>
    <row r="13" spans="1:20" ht="16.899999999999999" customHeight="1" thickBot="1">
      <c r="A13" s="225" t="s">
        <v>34</v>
      </c>
      <c r="B13" s="207"/>
      <c r="C13" s="226"/>
      <c r="D13" s="211"/>
      <c r="E13" s="202"/>
      <c r="F13" s="203"/>
      <c r="G13" s="204"/>
      <c r="H13" s="205"/>
      <c r="I13" s="206">
        <v>3</v>
      </c>
      <c r="J13" s="205">
        <f t="shared" si="1"/>
        <v>100</v>
      </c>
      <c r="K13" s="206">
        <f t="shared" si="3"/>
        <v>3</v>
      </c>
      <c r="L13" s="227"/>
      <c r="M13" s="207"/>
      <c r="N13" s="208"/>
      <c r="O13" s="209"/>
      <c r="P13" s="210"/>
      <c r="Q13" s="211"/>
      <c r="R13" s="208"/>
      <c r="S13" s="209">
        <f t="shared" si="5"/>
        <v>0</v>
      </c>
      <c r="T13" s="212">
        <f t="shared" si="7"/>
        <v>0</v>
      </c>
    </row>
    <row r="14" spans="1:20" ht="16.899999999999999" customHeight="1">
      <c r="A14" s="228" t="s">
        <v>35</v>
      </c>
      <c r="B14" s="229">
        <f>SUM(B15:B16)</f>
        <v>1989</v>
      </c>
      <c r="C14" s="230">
        <f>SUM(C15:C16)</f>
        <v>290</v>
      </c>
      <c r="D14" s="231">
        <f>SUM(D15:D16)</f>
        <v>443</v>
      </c>
      <c r="E14" s="232">
        <f t="shared" ref="E14:S14" si="8">SUM(E15:E16)</f>
        <v>316</v>
      </c>
      <c r="F14" s="233">
        <f t="shared" ref="F14:F40" si="9">E14/K14*100</f>
        <v>74.704491725768321</v>
      </c>
      <c r="G14" s="234">
        <f t="shared" si="8"/>
        <v>79</v>
      </c>
      <c r="H14" s="235">
        <f t="shared" ref="H14" si="10">G14/K14*100</f>
        <v>18.67612293144208</v>
      </c>
      <c r="I14" s="231">
        <f t="shared" si="8"/>
        <v>28</v>
      </c>
      <c r="J14" s="235">
        <f t="shared" si="1"/>
        <v>6.6193853427895979</v>
      </c>
      <c r="K14" s="231">
        <f t="shared" si="8"/>
        <v>423</v>
      </c>
      <c r="L14" s="236">
        <f>+K14/D14*100</f>
        <v>95.485327313769758</v>
      </c>
      <c r="M14" s="165">
        <f t="shared" si="8"/>
        <v>27</v>
      </c>
      <c r="N14" s="233">
        <f>M14/E14*100</f>
        <v>8.5443037974683538</v>
      </c>
      <c r="O14" s="169">
        <f t="shared" si="8"/>
        <v>4</v>
      </c>
      <c r="P14" s="237">
        <f>+O14/G14*100</f>
        <v>5.0632911392405067</v>
      </c>
      <c r="Q14" s="167">
        <f t="shared" si="8"/>
        <v>5</v>
      </c>
      <c r="R14" s="233">
        <f>+Q14/I14*100</f>
        <v>17.857142857142858</v>
      </c>
      <c r="S14" s="234">
        <f t="shared" si="8"/>
        <v>36</v>
      </c>
      <c r="T14" s="238">
        <f t="shared" si="7"/>
        <v>8.5106382978723403</v>
      </c>
    </row>
    <row r="15" spans="1:20" ht="16.899999999999999" customHeight="1">
      <c r="A15" s="239" t="s">
        <v>36</v>
      </c>
      <c r="B15" s="240">
        <f>444+1+5+24+80</f>
        <v>554</v>
      </c>
      <c r="C15" s="241">
        <v>200</v>
      </c>
      <c r="D15" s="242">
        <f>188+21+51</f>
        <v>260</v>
      </c>
      <c r="E15" s="243">
        <v>176</v>
      </c>
      <c r="F15" s="244">
        <f t="shared" si="9"/>
        <v>70.967741935483872</v>
      </c>
      <c r="G15" s="245">
        <v>49</v>
      </c>
      <c r="H15" s="246">
        <f>G15/K15*100</f>
        <v>19.758064516129032</v>
      </c>
      <c r="I15" s="247">
        <v>23</v>
      </c>
      <c r="J15" s="246">
        <f>I15/K15*100</f>
        <v>9.2741935483870961</v>
      </c>
      <c r="K15" s="247">
        <f t="shared" si="3"/>
        <v>248</v>
      </c>
      <c r="L15" s="248">
        <f t="shared" ref="L15:L22" si="11">+K15/D15*100</f>
        <v>95.384615384615387</v>
      </c>
      <c r="M15" s="240">
        <v>13</v>
      </c>
      <c r="N15" s="249">
        <f>M15/E15*100</f>
        <v>7.3863636363636367</v>
      </c>
      <c r="O15" s="250">
        <v>4</v>
      </c>
      <c r="P15" s="251">
        <f t="shared" ref="P15" si="12">O15/G15*100</f>
        <v>8.1632653061224492</v>
      </c>
      <c r="Q15" s="242">
        <v>5</v>
      </c>
      <c r="R15" s="249">
        <f>Q15/I15*100</f>
        <v>21.739130434782609</v>
      </c>
      <c r="S15" s="250">
        <f t="shared" si="5"/>
        <v>22</v>
      </c>
      <c r="T15" s="252">
        <f>S15/K15*100</f>
        <v>8.870967741935484</v>
      </c>
    </row>
    <row r="16" spans="1:20" ht="16.899999999999999" customHeight="1" thickBot="1">
      <c r="A16" s="198" t="s">
        <v>37</v>
      </c>
      <c r="B16" s="253">
        <f>1365+2+23+45</f>
        <v>1435</v>
      </c>
      <c r="C16" s="254">
        <v>90</v>
      </c>
      <c r="D16" s="255">
        <f>151+32</f>
        <v>183</v>
      </c>
      <c r="E16" s="256">
        <v>140</v>
      </c>
      <c r="F16" s="257">
        <f t="shared" si="9"/>
        <v>80</v>
      </c>
      <c r="G16" s="258">
        <v>30</v>
      </c>
      <c r="H16" s="259">
        <f>G16/K16*100</f>
        <v>17.142857142857142</v>
      </c>
      <c r="I16" s="260">
        <v>5</v>
      </c>
      <c r="J16" s="259">
        <f>I16/K16*100</f>
        <v>2.8571428571428572</v>
      </c>
      <c r="K16" s="260">
        <f t="shared" si="3"/>
        <v>175</v>
      </c>
      <c r="L16" s="261">
        <f t="shared" si="11"/>
        <v>95.628415300546436</v>
      </c>
      <c r="M16" s="253">
        <v>14</v>
      </c>
      <c r="N16" s="262">
        <f>M16/E16*100</f>
        <v>10</v>
      </c>
      <c r="O16" s="263"/>
      <c r="P16" s="264"/>
      <c r="Q16" s="255"/>
      <c r="R16" s="262"/>
      <c r="S16" s="263">
        <f t="shared" si="5"/>
        <v>14</v>
      </c>
      <c r="T16" s="265">
        <f>S16/K16*100</f>
        <v>8</v>
      </c>
    </row>
    <row r="17" spans="1:20" ht="16.899999999999999" customHeight="1">
      <c r="A17" s="266" t="s">
        <v>38</v>
      </c>
      <c r="B17" s="267">
        <f>SUM(B18:B20)</f>
        <v>1081</v>
      </c>
      <c r="C17" s="268">
        <f>SUM(C18:C20)</f>
        <v>270</v>
      </c>
      <c r="D17" s="269">
        <f>SUM(D18:D20)</f>
        <v>380</v>
      </c>
      <c r="E17" s="267">
        <f>SUM(E18:E20)</f>
        <v>268</v>
      </c>
      <c r="F17" s="270">
        <f t="shared" si="9"/>
        <v>73.829201101928376</v>
      </c>
      <c r="G17" s="271">
        <f>SUM(G18:G20)</f>
        <v>73</v>
      </c>
      <c r="H17" s="272">
        <f t="shared" ref="H17" si="13">G17/K17*100</f>
        <v>20.110192837465565</v>
      </c>
      <c r="I17" s="269">
        <f>SUM(I18:I20)</f>
        <v>22</v>
      </c>
      <c r="J17" s="272">
        <f t="shared" ref="J17" si="14">I17/K17*100</f>
        <v>6.0606060606060606</v>
      </c>
      <c r="K17" s="269">
        <f>SUM(I17,E17,G17)</f>
        <v>363</v>
      </c>
      <c r="L17" s="233">
        <f t="shared" si="11"/>
        <v>95.526315789473685</v>
      </c>
      <c r="M17" s="267">
        <f>SUM(M18:M20)</f>
        <v>23</v>
      </c>
      <c r="N17" s="270">
        <f t="shared" ref="N17" si="15">M17/E17*100</f>
        <v>8.5820895522388057</v>
      </c>
      <c r="O17" s="273">
        <f>SUM(O18:O20)</f>
        <v>9</v>
      </c>
      <c r="P17" s="235">
        <f>+O17/G17*100</f>
        <v>12.328767123287671</v>
      </c>
      <c r="Q17" s="269">
        <f>SUM(Q18:Q20)</f>
        <v>2</v>
      </c>
      <c r="R17" s="270">
        <f t="shared" ref="R17" si="16">Q17/I17*100</f>
        <v>9.0909090909090917</v>
      </c>
      <c r="S17" s="273">
        <f t="shared" si="5"/>
        <v>34</v>
      </c>
      <c r="T17" s="274">
        <f t="shared" ref="T17" si="17">S17/K17*100</f>
        <v>9.3663911845730023</v>
      </c>
    </row>
    <row r="18" spans="1:20" ht="16.899999999999999" customHeight="1">
      <c r="A18" s="275" t="s">
        <v>39</v>
      </c>
      <c r="B18" s="240">
        <f>214+1+1+7+4+3+5+60</f>
        <v>295</v>
      </c>
      <c r="C18" s="241">
        <v>90</v>
      </c>
      <c r="D18" s="242">
        <f>89+1+2+1+24</f>
        <v>117</v>
      </c>
      <c r="E18" s="243">
        <v>83</v>
      </c>
      <c r="F18" s="244">
        <f t="shared" si="9"/>
        <v>74.774774774774784</v>
      </c>
      <c r="G18" s="245">
        <v>23</v>
      </c>
      <c r="H18" s="246">
        <f>G18/K18*100</f>
        <v>20.72072072072072</v>
      </c>
      <c r="I18" s="247">
        <v>5</v>
      </c>
      <c r="J18" s="246">
        <f>I18/K18*100</f>
        <v>4.5045045045045047</v>
      </c>
      <c r="K18" s="247">
        <f t="shared" si="3"/>
        <v>111</v>
      </c>
      <c r="L18" s="276">
        <f t="shared" si="11"/>
        <v>94.871794871794862</v>
      </c>
      <c r="M18" s="240">
        <v>4</v>
      </c>
      <c r="N18" s="249">
        <f>M18/E18*100</f>
        <v>4.8192771084337354</v>
      </c>
      <c r="O18" s="250">
        <v>1</v>
      </c>
      <c r="P18" s="251">
        <f t="shared" ref="P18:P20" si="18">O18/G18*100</f>
        <v>4.3478260869565215</v>
      </c>
      <c r="Q18" s="242">
        <v>1</v>
      </c>
      <c r="R18" s="249">
        <f>Q18/I18*100</f>
        <v>20</v>
      </c>
      <c r="S18" s="250">
        <f t="shared" si="5"/>
        <v>6</v>
      </c>
      <c r="T18" s="252">
        <f>S18/K18*100</f>
        <v>5.4054054054054053</v>
      </c>
    </row>
    <row r="19" spans="1:20" ht="16.899999999999999" customHeight="1">
      <c r="A19" s="213" t="s">
        <v>40</v>
      </c>
      <c r="B19" s="187">
        <f>159+1+9+4+2+4+60</f>
        <v>239</v>
      </c>
      <c r="C19" s="188">
        <v>90</v>
      </c>
      <c r="D19" s="189">
        <f>77+3+2+4+36</f>
        <v>122</v>
      </c>
      <c r="E19" s="190">
        <v>72</v>
      </c>
      <c r="F19" s="191">
        <f t="shared" si="9"/>
        <v>61.53846153846154</v>
      </c>
      <c r="G19" s="192">
        <v>35</v>
      </c>
      <c r="H19" s="193">
        <f>G19/K19*100</f>
        <v>29.914529914529915</v>
      </c>
      <c r="I19" s="277">
        <v>10</v>
      </c>
      <c r="J19" s="193">
        <f>I19/K19*100</f>
        <v>8.5470085470085468</v>
      </c>
      <c r="K19" s="277">
        <f t="shared" si="3"/>
        <v>117</v>
      </c>
      <c r="L19" s="278">
        <f t="shared" si="11"/>
        <v>95.901639344262293</v>
      </c>
      <c r="M19" s="187">
        <v>8</v>
      </c>
      <c r="N19" s="194">
        <f>M19/E19*100</f>
        <v>11.111111111111111</v>
      </c>
      <c r="O19" s="196">
        <v>6</v>
      </c>
      <c r="P19" s="279">
        <f t="shared" si="18"/>
        <v>17.142857142857142</v>
      </c>
      <c r="Q19" s="189"/>
      <c r="R19" s="194"/>
      <c r="S19" s="196">
        <f t="shared" si="5"/>
        <v>14</v>
      </c>
      <c r="T19" s="197">
        <f>S19/K19*100</f>
        <v>11.965811965811966</v>
      </c>
    </row>
    <row r="20" spans="1:20" ht="16.899999999999999" customHeight="1" thickBot="1">
      <c r="A20" s="225" t="s">
        <v>41</v>
      </c>
      <c r="B20" s="280">
        <f>492+1+1+16+5+1+1+30</f>
        <v>547</v>
      </c>
      <c r="C20" s="281">
        <v>90</v>
      </c>
      <c r="D20" s="282">
        <f>121+4+16</f>
        <v>141</v>
      </c>
      <c r="E20" s="283">
        <v>113</v>
      </c>
      <c r="F20" s="284">
        <f t="shared" si="9"/>
        <v>83.703703703703695</v>
      </c>
      <c r="G20" s="285">
        <v>15</v>
      </c>
      <c r="H20" s="286">
        <f>G20/K20*100</f>
        <v>11.111111111111111</v>
      </c>
      <c r="I20" s="287">
        <v>7</v>
      </c>
      <c r="J20" s="286">
        <f>I20/K20*100</f>
        <v>5.1851851851851851</v>
      </c>
      <c r="K20" s="287">
        <f t="shared" si="3"/>
        <v>135</v>
      </c>
      <c r="L20" s="288">
        <f t="shared" si="11"/>
        <v>95.744680851063833</v>
      </c>
      <c r="M20" s="280">
        <v>11</v>
      </c>
      <c r="N20" s="289">
        <f>M20/E20*100</f>
        <v>9.7345132743362832</v>
      </c>
      <c r="O20" s="290">
        <v>2</v>
      </c>
      <c r="P20" s="291">
        <f t="shared" si="18"/>
        <v>13.333333333333334</v>
      </c>
      <c r="Q20" s="282">
        <v>1</v>
      </c>
      <c r="R20" s="289">
        <f>Q20/I20*100</f>
        <v>14.285714285714285</v>
      </c>
      <c r="S20" s="290">
        <f t="shared" si="5"/>
        <v>14</v>
      </c>
      <c r="T20" s="292">
        <f>S20/K20*100</f>
        <v>10.37037037037037</v>
      </c>
    </row>
    <row r="21" spans="1:20" ht="16.899999999999999" customHeight="1">
      <c r="A21" s="293" t="s">
        <v>42</v>
      </c>
      <c r="B21" s="294">
        <f>+B22</f>
        <v>7490</v>
      </c>
      <c r="C21" s="295">
        <f>+C22</f>
        <v>2000</v>
      </c>
      <c r="D21" s="296">
        <f>+D22</f>
        <v>2821</v>
      </c>
      <c r="E21" s="165">
        <f>SUM(E22:E44)</f>
        <v>2189</v>
      </c>
      <c r="F21" s="233">
        <f t="shared" si="9"/>
        <v>80.774907749077499</v>
      </c>
      <c r="G21" s="169">
        <f>SUM(G22:G44)</f>
        <v>203</v>
      </c>
      <c r="H21" s="237">
        <f t="shared" ref="H21" si="19">G21/K21*100</f>
        <v>7.4907749077490777</v>
      </c>
      <c r="I21" s="167">
        <f>SUM(I22:I44)</f>
        <v>318</v>
      </c>
      <c r="J21" s="237">
        <f t="shared" ref="J21:J45" si="20">I21/K21*100</f>
        <v>11.734317343173432</v>
      </c>
      <c r="K21" s="167">
        <f>SUM(K22:K44)</f>
        <v>2710</v>
      </c>
      <c r="L21" s="236">
        <f t="shared" si="11"/>
        <v>96.065225097483165</v>
      </c>
      <c r="M21" s="167">
        <f>SUM(M22:M44)</f>
        <v>140</v>
      </c>
      <c r="N21" s="233">
        <f t="shared" ref="N21" si="21">M21/E21*100</f>
        <v>6.3956144358154416</v>
      </c>
      <c r="O21" s="169">
        <f>SUM(O22:O44)</f>
        <v>10</v>
      </c>
      <c r="P21" s="237">
        <f>+O21/G21*100</f>
        <v>4.9261083743842367</v>
      </c>
      <c r="Q21" s="167">
        <f>SUM(Q22:Q44)</f>
        <v>45</v>
      </c>
      <c r="R21" s="233">
        <f t="shared" ref="R21" si="22">Q21/I21*100</f>
        <v>14.150943396226415</v>
      </c>
      <c r="S21" s="169">
        <f t="shared" si="5"/>
        <v>195</v>
      </c>
      <c r="T21" s="236">
        <f t="shared" ref="T21:T44" si="23">S21/K21*100</f>
        <v>7.195571955719557</v>
      </c>
    </row>
    <row r="22" spans="1:20" ht="16.899999999999999" customHeight="1">
      <c r="A22" s="159" t="s">
        <v>43</v>
      </c>
      <c r="B22" s="240">
        <f>6434+1+4+30+406+153+161+1+300</f>
        <v>7490</v>
      </c>
      <c r="C22" s="241">
        <v>2000</v>
      </c>
      <c r="D22" s="242">
        <f>2340+3+136+122+1+219</f>
        <v>2821</v>
      </c>
      <c r="E22" s="176">
        <v>1303</v>
      </c>
      <c r="F22" s="177">
        <f t="shared" si="9"/>
        <v>81.03233830845771</v>
      </c>
      <c r="G22" s="178">
        <v>203</v>
      </c>
      <c r="H22" s="179">
        <f>G22/K22*100</f>
        <v>12.624378109452735</v>
      </c>
      <c r="I22" s="180">
        <v>102</v>
      </c>
      <c r="J22" s="179">
        <f t="shared" si="20"/>
        <v>6.3432835820895521</v>
      </c>
      <c r="K22" s="180">
        <f t="shared" si="3"/>
        <v>1608</v>
      </c>
      <c r="L22" s="276">
        <f t="shared" si="11"/>
        <v>57.001063452676362</v>
      </c>
      <c r="M22" s="173">
        <v>99</v>
      </c>
      <c r="N22" s="182">
        <f>M22/E22*100</f>
        <v>7.5978511128165769</v>
      </c>
      <c r="O22" s="183">
        <v>10</v>
      </c>
      <c r="P22" s="184">
        <f t="shared" ref="P22" si="24">O22/G22*100</f>
        <v>4.9261083743842367</v>
      </c>
      <c r="Q22" s="175">
        <v>15</v>
      </c>
      <c r="R22" s="182">
        <f>Q22/I22*100</f>
        <v>14.705882352941178</v>
      </c>
      <c r="S22" s="183">
        <f t="shared" si="5"/>
        <v>124</v>
      </c>
      <c r="T22" s="185">
        <f t="shared" si="23"/>
        <v>7.7114427860696511</v>
      </c>
    </row>
    <row r="23" spans="1:20" ht="16.899999999999999" customHeight="1">
      <c r="A23" s="160" t="s">
        <v>44</v>
      </c>
      <c r="B23" s="297"/>
      <c r="C23" s="298"/>
      <c r="D23" s="299"/>
      <c r="E23" s="190">
        <v>43</v>
      </c>
      <c r="F23" s="191">
        <f t="shared" si="9"/>
        <v>86</v>
      </c>
      <c r="G23" s="192"/>
      <c r="H23" s="193"/>
      <c r="I23" s="277">
        <v>7</v>
      </c>
      <c r="J23" s="193">
        <f t="shared" si="20"/>
        <v>14.000000000000002</v>
      </c>
      <c r="K23" s="277">
        <f t="shared" si="3"/>
        <v>50</v>
      </c>
      <c r="L23" s="301"/>
      <c r="M23" s="187">
        <v>3</v>
      </c>
      <c r="N23" s="194">
        <f>M23/E23*100</f>
        <v>6.9767441860465116</v>
      </c>
      <c r="O23" s="196"/>
      <c r="P23" s="279"/>
      <c r="Q23" s="189"/>
      <c r="R23" s="300"/>
      <c r="S23" s="196">
        <f t="shared" si="5"/>
        <v>3</v>
      </c>
      <c r="T23" s="197">
        <f t="shared" si="23"/>
        <v>6</v>
      </c>
    </row>
    <row r="24" spans="1:20" ht="16.899999999999999" customHeight="1">
      <c r="A24" s="160" t="s">
        <v>45</v>
      </c>
      <c r="B24" s="297"/>
      <c r="C24" s="298"/>
      <c r="D24" s="299"/>
      <c r="E24" s="190">
        <v>39</v>
      </c>
      <c r="F24" s="191">
        <f t="shared" si="9"/>
        <v>90.697674418604649</v>
      </c>
      <c r="G24" s="192"/>
      <c r="H24" s="193"/>
      <c r="I24" s="277">
        <v>4</v>
      </c>
      <c r="J24" s="193">
        <f t="shared" si="20"/>
        <v>9.3023255813953494</v>
      </c>
      <c r="K24" s="277">
        <f t="shared" si="3"/>
        <v>43</v>
      </c>
      <c r="L24" s="331"/>
      <c r="M24" s="187">
        <v>2</v>
      </c>
      <c r="N24" s="194">
        <f>M24/E24*100</f>
        <v>5.1282051282051277</v>
      </c>
      <c r="O24" s="196"/>
      <c r="P24" s="279"/>
      <c r="Q24" s="189">
        <v>1</v>
      </c>
      <c r="R24" s="194">
        <f>Q24/I24*100</f>
        <v>25</v>
      </c>
      <c r="S24" s="196">
        <f t="shared" si="5"/>
        <v>3</v>
      </c>
      <c r="T24" s="197">
        <f t="shared" si="23"/>
        <v>6.9767441860465116</v>
      </c>
    </row>
    <row r="25" spans="1:20" ht="16.899999999999999" customHeight="1">
      <c r="A25" s="160" t="s">
        <v>46</v>
      </c>
      <c r="B25" s="297"/>
      <c r="C25" s="298"/>
      <c r="D25" s="299"/>
      <c r="E25" s="190">
        <v>31</v>
      </c>
      <c r="F25" s="191">
        <f t="shared" si="9"/>
        <v>81.578947368421055</v>
      </c>
      <c r="G25" s="192"/>
      <c r="H25" s="193"/>
      <c r="I25" s="277">
        <v>7</v>
      </c>
      <c r="J25" s="193">
        <f t="shared" si="20"/>
        <v>18.421052631578945</v>
      </c>
      <c r="K25" s="277">
        <f t="shared" si="3"/>
        <v>38</v>
      </c>
      <c r="L25" s="331"/>
      <c r="M25" s="187">
        <v>3</v>
      </c>
      <c r="N25" s="194">
        <f>M25/E25*100</f>
        <v>9.67741935483871</v>
      </c>
      <c r="O25" s="196"/>
      <c r="P25" s="279"/>
      <c r="Q25" s="189"/>
      <c r="R25" s="300"/>
      <c r="S25" s="196">
        <f t="shared" si="5"/>
        <v>3</v>
      </c>
      <c r="T25" s="197">
        <f t="shared" si="23"/>
        <v>7.8947368421052628</v>
      </c>
    </row>
    <row r="26" spans="1:20" ht="16.899999999999999" customHeight="1">
      <c r="A26" s="160" t="s">
        <v>47</v>
      </c>
      <c r="B26" s="297"/>
      <c r="C26" s="298"/>
      <c r="D26" s="299"/>
      <c r="E26" s="190">
        <v>62</v>
      </c>
      <c r="F26" s="191">
        <f t="shared" si="9"/>
        <v>93.939393939393938</v>
      </c>
      <c r="G26" s="192"/>
      <c r="H26" s="193"/>
      <c r="I26" s="277">
        <v>4</v>
      </c>
      <c r="J26" s="193">
        <f t="shared" si="20"/>
        <v>6.0606060606060606</v>
      </c>
      <c r="K26" s="277">
        <f t="shared" si="3"/>
        <v>66</v>
      </c>
      <c r="L26" s="331"/>
      <c r="M26" s="187">
        <v>4</v>
      </c>
      <c r="N26" s="194">
        <f>M26/E26*100</f>
        <v>6.4516129032258061</v>
      </c>
      <c r="O26" s="196"/>
      <c r="P26" s="279"/>
      <c r="Q26" s="189"/>
      <c r="R26" s="300"/>
      <c r="S26" s="196">
        <f t="shared" si="5"/>
        <v>4</v>
      </c>
      <c r="T26" s="197">
        <f t="shared" si="23"/>
        <v>6.0606060606060606</v>
      </c>
    </row>
    <row r="27" spans="1:20" ht="16.899999999999999" customHeight="1">
      <c r="A27" s="160" t="s">
        <v>48</v>
      </c>
      <c r="B27" s="297"/>
      <c r="C27" s="298"/>
      <c r="D27" s="299"/>
      <c r="E27" s="190">
        <v>40</v>
      </c>
      <c r="F27" s="191">
        <f t="shared" si="9"/>
        <v>72.727272727272734</v>
      </c>
      <c r="G27" s="192"/>
      <c r="H27" s="193"/>
      <c r="I27" s="277">
        <v>15</v>
      </c>
      <c r="J27" s="193">
        <f t="shared" si="20"/>
        <v>27.27272727272727</v>
      </c>
      <c r="K27" s="277">
        <f t="shared" si="3"/>
        <v>55</v>
      </c>
      <c r="L27" s="331"/>
      <c r="M27" s="187"/>
      <c r="N27" s="194"/>
      <c r="O27" s="196"/>
      <c r="P27" s="279"/>
      <c r="Q27" s="189">
        <v>1</v>
      </c>
      <c r="R27" s="194">
        <f>Q27/I27*100</f>
        <v>6.666666666666667</v>
      </c>
      <c r="S27" s="196">
        <f t="shared" si="5"/>
        <v>1</v>
      </c>
      <c r="T27" s="197">
        <f t="shared" si="23"/>
        <v>1.8181818181818181</v>
      </c>
    </row>
    <row r="28" spans="1:20" ht="16.899999999999999" customHeight="1">
      <c r="A28" s="160" t="s">
        <v>49</v>
      </c>
      <c r="B28" s="297"/>
      <c r="C28" s="298"/>
      <c r="D28" s="299"/>
      <c r="E28" s="190">
        <v>65</v>
      </c>
      <c r="F28" s="191">
        <f t="shared" si="9"/>
        <v>86.666666666666671</v>
      </c>
      <c r="G28" s="192"/>
      <c r="H28" s="193"/>
      <c r="I28" s="277">
        <v>10</v>
      </c>
      <c r="J28" s="193">
        <f t="shared" si="20"/>
        <v>13.333333333333334</v>
      </c>
      <c r="K28" s="277">
        <f t="shared" si="3"/>
        <v>75</v>
      </c>
      <c r="L28" s="331"/>
      <c r="M28" s="187">
        <v>2</v>
      </c>
      <c r="N28" s="194">
        <f>M28/E28*100</f>
        <v>3.0769230769230771</v>
      </c>
      <c r="O28" s="196"/>
      <c r="P28" s="279"/>
      <c r="Q28" s="189"/>
      <c r="R28" s="300"/>
      <c r="S28" s="196">
        <f t="shared" si="5"/>
        <v>2</v>
      </c>
      <c r="T28" s="197">
        <f t="shared" si="23"/>
        <v>2.666666666666667</v>
      </c>
    </row>
    <row r="29" spans="1:20" ht="16.899999999999999" customHeight="1">
      <c r="A29" s="160" t="s">
        <v>50</v>
      </c>
      <c r="B29" s="297"/>
      <c r="C29" s="298"/>
      <c r="D29" s="299"/>
      <c r="E29" s="190">
        <v>12</v>
      </c>
      <c r="F29" s="191">
        <f t="shared" si="9"/>
        <v>66.666666666666657</v>
      </c>
      <c r="G29" s="192"/>
      <c r="H29" s="193"/>
      <c r="I29" s="277">
        <v>6</v>
      </c>
      <c r="J29" s="193">
        <f t="shared" si="20"/>
        <v>33.333333333333329</v>
      </c>
      <c r="K29" s="277">
        <f t="shared" si="3"/>
        <v>18</v>
      </c>
      <c r="L29" s="331"/>
      <c r="M29" s="187"/>
      <c r="N29" s="194"/>
      <c r="O29" s="196"/>
      <c r="P29" s="279"/>
      <c r="Q29" s="189"/>
      <c r="R29" s="300"/>
      <c r="S29" s="196">
        <f t="shared" si="5"/>
        <v>0</v>
      </c>
      <c r="T29" s="197">
        <f t="shared" si="23"/>
        <v>0</v>
      </c>
    </row>
    <row r="30" spans="1:20" ht="16.899999999999999" customHeight="1">
      <c r="A30" s="161" t="s">
        <v>51</v>
      </c>
      <c r="B30" s="297"/>
      <c r="C30" s="298"/>
      <c r="D30" s="299"/>
      <c r="E30" s="256">
        <v>54</v>
      </c>
      <c r="F30" s="257">
        <f t="shared" si="9"/>
        <v>96.428571428571431</v>
      </c>
      <c r="G30" s="258"/>
      <c r="H30" s="259"/>
      <c r="I30" s="260">
        <v>2</v>
      </c>
      <c r="J30" s="259">
        <f t="shared" si="20"/>
        <v>3.5714285714285712</v>
      </c>
      <c r="K30" s="260">
        <f t="shared" si="3"/>
        <v>56</v>
      </c>
      <c r="L30" s="331"/>
      <c r="M30" s="253">
        <v>1</v>
      </c>
      <c r="N30" s="262">
        <f>M30/E30*100</f>
        <v>1.8518518518518516</v>
      </c>
      <c r="O30" s="263"/>
      <c r="P30" s="264"/>
      <c r="Q30" s="255"/>
      <c r="R30" s="302"/>
      <c r="S30" s="263">
        <f t="shared" si="5"/>
        <v>1</v>
      </c>
      <c r="T30" s="265">
        <f t="shared" si="23"/>
        <v>1.7857142857142856</v>
      </c>
    </row>
    <row r="31" spans="1:20" ht="16.899999999999999" customHeight="1">
      <c r="A31" s="161" t="s">
        <v>52</v>
      </c>
      <c r="B31" s="297"/>
      <c r="C31" s="298"/>
      <c r="D31" s="303"/>
      <c r="E31" s="256">
        <v>37</v>
      </c>
      <c r="F31" s="257">
        <f t="shared" si="9"/>
        <v>86.04651162790698</v>
      </c>
      <c r="G31" s="258"/>
      <c r="H31" s="259"/>
      <c r="I31" s="260">
        <v>6</v>
      </c>
      <c r="J31" s="259">
        <f t="shared" si="20"/>
        <v>13.953488372093023</v>
      </c>
      <c r="K31" s="260">
        <f t="shared" si="3"/>
        <v>43</v>
      </c>
      <c r="L31" s="331"/>
      <c r="M31" s="253"/>
      <c r="N31" s="262"/>
      <c r="O31" s="263"/>
      <c r="P31" s="264"/>
      <c r="Q31" s="255"/>
      <c r="R31" s="302"/>
      <c r="S31" s="263">
        <f t="shared" si="5"/>
        <v>0</v>
      </c>
      <c r="T31" s="265">
        <f t="shared" si="23"/>
        <v>0</v>
      </c>
    </row>
    <row r="32" spans="1:20" ht="16.899999999999999" customHeight="1">
      <c r="A32" s="160" t="s">
        <v>53</v>
      </c>
      <c r="B32" s="297"/>
      <c r="C32" s="298"/>
      <c r="D32" s="303"/>
      <c r="E32" s="190">
        <v>81</v>
      </c>
      <c r="F32" s="191">
        <f t="shared" si="9"/>
        <v>93.103448275862064</v>
      </c>
      <c r="G32" s="192"/>
      <c r="H32" s="193"/>
      <c r="I32" s="277">
        <v>6</v>
      </c>
      <c r="J32" s="193">
        <f t="shared" si="20"/>
        <v>6.8965517241379306</v>
      </c>
      <c r="K32" s="277">
        <f t="shared" si="3"/>
        <v>87</v>
      </c>
      <c r="L32" s="331"/>
      <c r="M32" s="187">
        <v>4</v>
      </c>
      <c r="N32" s="194">
        <f>M32/E32*100</f>
        <v>4.9382716049382713</v>
      </c>
      <c r="O32" s="196"/>
      <c r="P32" s="279"/>
      <c r="Q32" s="189"/>
      <c r="R32" s="300"/>
      <c r="S32" s="196">
        <f t="shared" si="5"/>
        <v>4</v>
      </c>
      <c r="T32" s="197">
        <f t="shared" si="23"/>
        <v>4.5977011494252871</v>
      </c>
    </row>
    <row r="33" spans="1:20" ht="16.899999999999999" customHeight="1">
      <c r="A33" s="163" t="s">
        <v>54</v>
      </c>
      <c r="B33" s="297"/>
      <c r="C33" s="298"/>
      <c r="D33" s="299"/>
      <c r="E33" s="318">
        <v>64</v>
      </c>
      <c r="F33" s="319">
        <f t="shared" si="9"/>
        <v>87.671232876712324</v>
      </c>
      <c r="G33" s="320"/>
      <c r="H33" s="321"/>
      <c r="I33" s="322">
        <v>9</v>
      </c>
      <c r="J33" s="321">
        <f t="shared" si="20"/>
        <v>12.328767123287671</v>
      </c>
      <c r="K33" s="322">
        <f t="shared" si="3"/>
        <v>73</v>
      </c>
      <c r="L33" s="331"/>
      <c r="M33" s="323">
        <v>3</v>
      </c>
      <c r="N33" s="324">
        <f>M33/E33*100</f>
        <v>4.6875</v>
      </c>
      <c r="O33" s="325"/>
      <c r="P33" s="326"/>
      <c r="Q33" s="327">
        <v>1</v>
      </c>
      <c r="R33" s="324">
        <f>Q33/I33*100</f>
        <v>11.111111111111111</v>
      </c>
      <c r="S33" s="325">
        <f t="shared" si="5"/>
        <v>4</v>
      </c>
      <c r="T33" s="328">
        <f t="shared" si="23"/>
        <v>5.4794520547945202</v>
      </c>
    </row>
    <row r="34" spans="1:20" ht="16.899999999999999" customHeight="1">
      <c r="A34" s="163" t="s">
        <v>55</v>
      </c>
      <c r="B34" s="297"/>
      <c r="C34" s="298"/>
      <c r="D34" s="303"/>
      <c r="E34" s="318">
        <v>34</v>
      </c>
      <c r="F34" s="319">
        <f t="shared" si="9"/>
        <v>94.444444444444443</v>
      </c>
      <c r="G34" s="320"/>
      <c r="H34" s="321"/>
      <c r="I34" s="322">
        <v>2</v>
      </c>
      <c r="J34" s="321">
        <f t="shared" si="20"/>
        <v>5.5555555555555554</v>
      </c>
      <c r="K34" s="322">
        <f t="shared" si="3"/>
        <v>36</v>
      </c>
      <c r="L34" s="331"/>
      <c r="M34" s="323">
        <v>2</v>
      </c>
      <c r="N34" s="324">
        <f>M34/E34*100</f>
        <v>5.8823529411764701</v>
      </c>
      <c r="O34" s="325"/>
      <c r="P34" s="326"/>
      <c r="Q34" s="327"/>
      <c r="R34" s="329"/>
      <c r="S34" s="325">
        <f t="shared" si="5"/>
        <v>2</v>
      </c>
      <c r="T34" s="328">
        <f t="shared" si="23"/>
        <v>5.5555555555555554</v>
      </c>
    </row>
    <row r="35" spans="1:20" ht="16.899999999999999" customHeight="1" thickBot="1">
      <c r="A35" s="162" t="s">
        <v>56</v>
      </c>
      <c r="B35" s="304"/>
      <c r="C35" s="305"/>
      <c r="D35" s="306"/>
      <c r="E35" s="307">
        <v>37</v>
      </c>
      <c r="F35" s="308">
        <f t="shared" si="9"/>
        <v>94.871794871794862</v>
      </c>
      <c r="G35" s="309"/>
      <c r="H35" s="310"/>
      <c r="I35" s="311">
        <v>2</v>
      </c>
      <c r="J35" s="310">
        <f t="shared" si="20"/>
        <v>5.1282051282051277</v>
      </c>
      <c r="K35" s="311">
        <f t="shared" si="3"/>
        <v>39</v>
      </c>
      <c r="L35" s="331"/>
      <c r="M35" s="312">
        <v>3</v>
      </c>
      <c r="N35" s="313">
        <f>M35/E35*100</f>
        <v>8.1081081081081088</v>
      </c>
      <c r="O35" s="314"/>
      <c r="P35" s="315"/>
      <c r="Q35" s="316">
        <v>1</v>
      </c>
      <c r="R35" s="313">
        <f>Q35/I35*100</f>
        <v>50</v>
      </c>
      <c r="S35" s="314">
        <f t="shared" si="5"/>
        <v>4</v>
      </c>
      <c r="T35" s="317">
        <f t="shared" si="23"/>
        <v>10.256410256410255</v>
      </c>
    </row>
    <row r="36" spans="1:20" ht="16.899999999999999" customHeight="1">
      <c r="A36" s="163" t="s">
        <v>57</v>
      </c>
      <c r="B36" s="297"/>
      <c r="C36" s="298"/>
      <c r="D36" s="299"/>
      <c r="E36" s="318">
        <v>62</v>
      </c>
      <c r="F36" s="319">
        <f t="shared" si="9"/>
        <v>95.384615384615387</v>
      </c>
      <c r="G36" s="320"/>
      <c r="H36" s="321"/>
      <c r="I36" s="322">
        <v>3</v>
      </c>
      <c r="J36" s="321">
        <f t="shared" si="20"/>
        <v>4.6153846153846159</v>
      </c>
      <c r="K36" s="322">
        <f t="shared" si="3"/>
        <v>65</v>
      </c>
      <c r="L36" s="331"/>
      <c r="M36" s="323">
        <v>6</v>
      </c>
      <c r="N36" s="324">
        <f>M36/E36*100</f>
        <v>9.67741935483871</v>
      </c>
      <c r="O36" s="325"/>
      <c r="P36" s="326"/>
      <c r="Q36" s="327"/>
      <c r="R36" s="329"/>
      <c r="S36" s="325">
        <f t="shared" si="5"/>
        <v>6</v>
      </c>
      <c r="T36" s="328">
        <f t="shared" si="23"/>
        <v>9.2307692307692317</v>
      </c>
    </row>
    <row r="37" spans="1:20" ht="16.899999999999999" customHeight="1">
      <c r="A37" s="160" t="s">
        <v>58</v>
      </c>
      <c r="B37" s="297"/>
      <c r="C37" s="298"/>
      <c r="D37" s="299"/>
      <c r="E37" s="190">
        <v>37</v>
      </c>
      <c r="F37" s="191">
        <f t="shared" si="9"/>
        <v>90.243902439024396</v>
      </c>
      <c r="G37" s="192"/>
      <c r="H37" s="193"/>
      <c r="I37" s="277">
        <v>4</v>
      </c>
      <c r="J37" s="193">
        <f t="shared" si="20"/>
        <v>9.7560975609756095</v>
      </c>
      <c r="K37" s="277">
        <f t="shared" si="3"/>
        <v>41</v>
      </c>
      <c r="L37" s="331"/>
      <c r="M37" s="187"/>
      <c r="N37" s="194"/>
      <c r="O37" s="196"/>
      <c r="P37" s="279"/>
      <c r="Q37" s="189"/>
      <c r="R37" s="300"/>
      <c r="S37" s="196">
        <f t="shared" si="5"/>
        <v>0</v>
      </c>
      <c r="T37" s="197">
        <f t="shared" si="23"/>
        <v>0</v>
      </c>
    </row>
    <row r="38" spans="1:20" ht="16.899999999999999" customHeight="1">
      <c r="A38" s="160" t="s">
        <v>59</v>
      </c>
      <c r="B38" s="297"/>
      <c r="C38" s="298"/>
      <c r="D38" s="299"/>
      <c r="E38" s="190">
        <v>32</v>
      </c>
      <c r="F38" s="191">
        <f t="shared" si="9"/>
        <v>91.428571428571431</v>
      </c>
      <c r="G38" s="192"/>
      <c r="H38" s="193"/>
      <c r="I38" s="277">
        <v>3</v>
      </c>
      <c r="J38" s="193">
        <f t="shared" si="20"/>
        <v>8.5714285714285712</v>
      </c>
      <c r="K38" s="277">
        <f t="shared" si="3"/>
        <v>35</v>
      </c>
      <c r="L38" s="331"/>
      <c r="M38" s="187">
        <v>1</v>
      </c>
      <c r="N38" s="194">
        <f>M38/E38*100</f>
        <v>3.125</v>
      </c>
      <c r="O38" s="196"/>
      <c r="P38" s="279"/>
      <c r="Q38" s="189"/>
      <c r="R38" s="300"/>
      <c r="S38" s="196">
        <f t="shared" si="5"/>
        <v>1</v>
      </c>
      <c r="T38" s="197">
        <f t="shared" si="23"/>
        <v>2.8571428571428572</v>
      </c>
    </row>
    <row r="39" spans="1:20" ht="16.899999999999999" customHeight="1">
      <c r="A39" s="160" t="s">
        <v>60</v>
      </c>
      <c r="B39" s="297"/>
      <c r="C39" s="298"/>
      <c r="D39" s="299"/>
      <c r="E39" s="190">
        <v>37</v>
      </c>
      <c r="F39" s="191">
        <f t="shared" si="9"/>
        <v>86.04651162790698</v>
      </c>
      <c r="G39" s="192"/>
      <c r="H39" s="193"/>
      <c r="I39" s="277">
        <v>6</v>
      </c>
      <c r="J39" s="193">
        <f t="shared" si="20"/>
        <v>13.953488372093023</v>
      </c>
      <c r="K39" s="277">
        <f t="shared" si="3"/>
        <v>43</v>
      </c>
      <c r="L39" s="331"/>
      <c r="M39" s="187">
        <v>1</v>
      </c>
      <c r="N39" s="194">
        <f>M39/E39*100</f>
        <v>2.7027027027027026</v>
      </c>
      <c r="O39" s="196"/>
      <c r="P39" s="279"/>
      <c r="Q39" s="189"/>
      <c r="R39" s="300"/>
      <c r="S39" s="196">
        <f t="shared" si="5"/>
        <v>1</v>
      </c>
      <c r="T39" s="197">
        <f t="shared" si="23"/>
        <v>2.3255813953488373</v>
      </c>
    </row>
    <row r="40" spans="1:20" ht="16.899999999999999" customHeight="1">
      <c r="A40" s="160" t="s">
        <v>61</v>
      </c>
      <c r="B40" s="297"/>
      <c r="C40" s="298"/>
      <c r="D40" s="299"/>
      <c r="E40" s="190">
        <v>0</v>
      </c>
      <c r="F40" s="191">
        <f t="shared" si="9"/>
        <v>0</v>
      </c>
      <c r="G40" s="192"/>
      <c r="H40" s="193"/>
      <c r="I40" s="277">
        <v>112</v>
      </c>
      <c r="J40" s="193">
        <f t="shared" si="20"/>
        <v>100</v>
      </c>
      <c r="K40" s="277">
        <f t="shared" si="3"/>
        <v>112</v>
      </c>
      <c r="L40" s="331"/>
      <c r="M40" s="187"/>
      <c r="N40" s="194"/>
      <c r="O40" s="196"/>
      <c r="P40" s="279"/>
      <c r="Q40" s="189">
        <v>26</v>
      </c>
      <c r="R40" s="194">
        <f>Q40/I40*100</f>
        <v>23.214285714285715</v>
      </c>
      <c r="S40" s="196">
        <f t="shared" si="5"/>
        <v>26</v>
      </c>
      <c r="T40" s="197">
        <f t="shared" si="23"/>
        <v>23.214285714285715</v>
      </c>
    </row>
    <row r="41" spans="1:20" ht="16.899999999999999" customHeight="1">
      <c r="A41" s="160" t="s">
        <v>62</v>
      </c>
      <c r="B41" s="297"/>
      <c r="C41" s="298"/>
      <c r="D41" s="299"/>
      <c r="E41" s="190">
        <v>48</v>
      </c>
      <c r="F41" s="191">
        <f>E41/K41*100</f>
        <v>90.566037735849065</v>
      </c>
      <c r="G41" s="192"/>
      <c r="H41" s="193"/>
      <c r="I41" s="277">
        <v>5</v>
      </c>
      <c r="J41" s="193">
        <f t="shared" si="20"/>
        <v>9.433962264150944</v>
      </c>
      <c r="K41" s="277">
        <f t="shared" si="3"/>
        <v>53</v>
      </c>
      <c r="L41" s="331"/>
      <c r="M41" s="187">
        <v>2</v>
      </c>
      <c r="N41" s="194">
        <f>M41/E41*100</f>
        <v>4.1666666666666661</v>
      </c>
      <c r="O41" s="196"/>
      <c r="P41" s="279"/>
      <c r="Q41" s="330"/>
      <c r="R41" s="300"/>
      <c r="S41" s="196">
        <f t="shared" si="5"/>
        <v>2</v>
      </c>
      <c r="T41" s="197">
        <f t="shared" si="23"/>
        <v>3.7735849056603774</v>
      </c>
    </row>
    <row r="42" spans="1:20" ht="16.899999999999999" customHeight="1">
      <c r="A42" s="160" t="s">
        <v>63</v>
      </c>
      <c r="B42" s="297"/>
      <c r="C42" s="298"/>
      <c r="D42" s="299"/>
      <c r="E42" s="190">
        <v>38</v>
      </c>
      <c r="F42" s="191">
        <f>E42/K42*100</f>
        <v>95</v>
      </c>
      <c r="G42" s="192"/>
      <c r="H42" s="193"/>
      <c r="I42" s="277">
        <v>2</v>
      </c>
      <c r="J42" s="193">
        <f t="shared" si="20"/>
        <v>5</v>
      </c>
      <c r="K42" s="277">
        <f t="shared" si="3"/>
        <v>40</v>
      </c>
      <c r="L42" s="331"/>
      <c r="M42" s="187">
        <v>2</v>
      </c>
      <c r="N42" s="194">
        <f t="shared" ref="N42" si="25">M42/E42*100</f>
        <v>5.2631578947368416</v>
      </c>
      <c r="O42" s="196"/>
      <c r="P42" s="279"/>
      <c r="Q42" s="330"/>
      <c r="R42" s="300"/>
      <c r="S42" s="196">
        <f t="shared" si="5"/>
        <v>2</v>
      </c>
      <c r="T42" s="197">
        <f t="shared" si="23"/>
        <v>5</v>
      </c>
    </row>
    <row r="43" spans="1:20" ht="16.899999999999999" customHeight="1">
      <c r="A43" s="160" t="s">
        <v>64</v>
      </c>
      <c r="B43" s="297"/>
      <c r="C43" s="298"/>
      <c r="D43" s="299"/>
      <c r="E43" s="190">
        <v>23</v>
      </c>
      <c r="F43" s="191">
        <f>E43/K43*100</f>
        <v>95.833333333333343</v>
      </c>
      <c r="G43" s="192"/>
      <c r="H43" s="193"/>
      <c r="I43" s="277">
        <v>1</v>
      </c>
      <c r="J43" s="193">
        <f t="shared" si="20"/>
        <v>4.1666666666666661</v>
      </c>
      <c r="K43" s="277">
        <f t="shared" si="3"/>
        <v>24</v>
      </c>
      <c r="L43" s="331"/>
      <c r="M43" s="187">
        <v>1</v>
      </c>
      <c r="N43" s="194">
        <f>M43/E43*100</f>
        <v>4.3478260869565215</v>
      </c>
      <c r="O43" s="196"/>
      <c r="P43" s="279"/>
      <c r="Q43" s="330"/>
      <c r="R43" s="300"/>
      <c r="S43" s="196">
        <f t="shared" si="5"/>
        <v>1</v>
      </c>
      <c r="T43" s="197">
        <f t="shared" si="23"/>
        <v>4.1666666666666661</v>
      </c>
    </row>
    <row r="44" spans="1:20" ht="16.899999999999999" customHeight="1" thickBot="1">
      <c r="A44" s="161" t="s">
        <v>65</v>
      </c>
      <c r="B44" s="297"/>
      <c r="C44" s="298"/>
      <c r="D44" s="299"/>
      <c r="E44" s="283">
        <v>10</v>
      </c>
      <c r="F44" s="284">
        <f>E44/K44*100</f>
        <v>100</v>
      </c>
      <c r="G44" s="285"/>
      <c r="H44" s="286"/>
      <c r="I44" s="287">
        <v>0</v>
      </c>
      <c r="J44" s="286">
        <f t="shared" si="20"/>
        <v>0</v>
      </c>
      <c r="K44" s="287">
        <f t="shared" si="3"/>
        <v>10</v>
      </c>
      <c r="L44" s="331"/>
      <c r="M44" s="280">
        <v>1</v>
      </c>
      <c r="N44" s="289">
        <f>M44/E44*100</f>
        <v>10</v>
      </c>
      <c r="O44" s="290"/>
      <c r="P44" s="291"/>
      <c r="Q44" s="282"/>
      <c r="R44" s="332"/>
      <c r="S44" s="290">
        <f t="shared" si="5"/>
        <v>1</v>
      </c>
      <c r="T44" s="292">
        <f t="shared" si="23"/>
        <v>10</v>
      </c>
    </row>
    <row r="45" spans="1:20" ht="16.899999999999999" customHeight="1">
      <c r="A45" s="266" t="s">
        <v>66</v>
      </c>
      <c r="B45" s="267">
        <f>SUM(B46:B47)</f>
        <v>4214</v>
      </c>
      <c r="C45" s="268">
        <f>SUM(C46:C47)</f>
        <v>260</v>
      </c>
      <c r="D45" s="269">
        <f>SUM(D46:D47)</f>
        <v>438</v>
      </c>
      <c r="E45" s="267">
        <f>SUM(E46:E47)</f>
        <v>306</v>
      </c>
      <c r="F45" s="333">
        <f>E45/K45*100</f>
        <v>74.816625916870422</v>
      </c>
      <c r="G45" s="273">
        <f>SUM(G46:G47)</f>
        <v>11</v>
      </c>
      <c r="H45" s="334">
        <f>G45/K45*100</f>
        <v>2.6894865525672369</v>
      </c>
      <c r="I45" s="269">
        <f>SUM(I46:I47)</f>
        <v>92</v>
      </c>
      <c r="J45" s="334">
        <f t="shared" si="20"/>
        <v>22.493887530562347</v>
      </c>
      <c r="K45" s="269">
        <f>SUM(K46:K47)</f>
        <v>409</v>
      </c>
      <c r="L45" s="333">
        <f t="shared" ref="L45:L48" si="26">+K45/D45*100</f>
        <v>93.378995433789953</v>
      </c>
      <c r="M45" s="267">
        <f>SUM(M46:M47)</f>
        <v>54</v>
      </c>
      <c r="N45" s="333">
        <f>M45/E45*100</f>
        <v>17.647058823529413</v>
      </c>
      <c r="O45" s="273">
        <f>SUM(O46:O47)</f>
        <v>1</v>
      </c>
      <c r="P45" s="334">
        <f>O45/G45*100</f>
        <v>9.0909090909090917</v>
      </c>
      <c r="Q45" s="335">
        <v>0</v>
      </c>
      <c r="R45" s="336">
        <v>0</v>
      </c>
      <c r="S45" s="273">
        <f>SUM(S46:S47)</f>
        <v>55</v>
      </c>
      <c r="T45" s="337">
        <f>S45/K45*100</f>
        <v>13.447432762836186</v>
      </c>
    </row>
    <row r="46" spans="1:20" ht="16.899999999999999" customHeight="1">
      <c r="A46" s="338" t="s">
        <v>67</v>
      </c>
      <c r="B46" s="280">
        <f>1118+40</f>
        <v>1158</v>
      </c>
      <c r="C46" s="281">
        <v>80</v>
      </c>
      <c r="D46" s="282">
        <v>80</v>
      </c>
      <c r="E46" s="283">
        <v>0</v>
      </c>
      <c r="F46" s="284">
        <v>0</v>
      </c>
      <c r="G46" s="285">
        <v>0</v>
      </c>
      <c r="H46" s="286">
        <v>0</v>
      </c>
      <c r="I46" s="287">
        <v>80</v>
      </c>
      <c r="J46" s="286">
        <f>I46/K46*100</f>
        <v>100</v>
      </c>
      <c r="K46" s="287">
        <f t="shared" si="3"/>
        <v>80</v>
      </c>
      <c r="L46" s="324">
        <f t="shared" si="26"/>
        <v>100</v>
      </c>
      <c r="M46" s="280">
        <v>0</v>
      </c>
      <c r="N46" s="289">
        <v>0</v>
      </c>
      <c r="O46" s="290">
        <v>0</v>
      </c>
      <c r="P46" s="291">
        <v>0</v>
      </c>
      <c r="Q46" s="282">
        <v>0</v>
      </c>
      <c r="R46" s="289">
        <v>0</v>
      </c>
      <c r="S46" s="290">
        <f t="shared" si="5"/>
        <v>0</v>
      </c>
      <c r="T46" s="292">
        <v>0</v>
      </c>
    </row>
    <row r="47" spans="1:20" ht="16.899999999999999" customHeight="1">
      <c r="A47" s="213" t="s">
        <v>68</v>
      </c>
      <c r="B47" s="187">
        <f>SUM(B48:B50)</f>
        <v>3056</v>
      </c>
      <c r="C47" s="188">
        <f>SUM(C48:C50)</f>
        <v>180</v>
      </c>
      <c r="D47" s="189">
        <f>SUM(D48:D50)</f>
        <v>358</v>
      </c>
      <c r="E47" s="187">
        <f>SUM(E48:E50)</f>
        <v>306</v>
      </c>
      <c r="F47" s="194">
        <f>E47/K47*100</f>
        <v>93.00911854103343</v>
      </c>
      <c r="G47" s="339">
        <f>SUM(G48:G50)</f>
        <v>11</v>
      </c>
      <c r="H47" s="279">
        <f>G47/K47*100</f>
        <v>3.3434650455927049</v>
      </c>
      <c r="I47" s="340">
        <f>SUM(I48:I50)</f>
        <v>12</v>
      </c>
      <c r="J47" s="279">
        <f>I47/K47*100</f>
        <v>3.6474164133738598</v>
      </c>
      <c r="K47" s="189">
        <f>SUM(K48:K50)</f>
        <v>329</v>
      </c>
      <c r="L47" s="194">
        <f t="shared" si="26"/>
        <v>91.899441340782118</v>
      </c>
      <c r="M47" s="187">
        <f>SUM(M48:M50)</f>
        <v>54</v>
      </c>
      <c r="N47" s="194">
        <f>M47/E47*100</f>
        <v>17.647058823529413</v>
      </c>
      <c r="O47" s="196">
        <f>SUM(O48:O50)</f>
        <v>1</v>
      </c>
      <c r="P47" s="279">
        <f>O47/G47*100</f>
        <v>9.0909090909090917</v>
      </c>
      <c r="Q47" s="189">
        <v>0</v>
      </c>
      <c r="R47" s="194">
        <v>0</v>
      </c>
      <c r="S47" s="196">
        <f>SUM(S48:S50)</f>
        <v>55</v>
      </c>
      <c r="T47" s="197">
        <f>S47/K47*100</f>
        <v>16.717325227963524</v>
      </c>
    </row>
    <row r="48" spans="1:20" ht="16.899999999999999" customHeight="1">
      <c r="A48" s="13" t="s">
        <v>69</v>
      </c>
      <c r="B48" s="136">
        <f>2969+2+9+53+1+2+20</f>
        <v>3056</v>
      </c>
      <c r="C48" s="341">
        <v>180</v>
      </c>
      <c r="D48" s="145">
        <f>344+2+12</f>
        <v>358</v>
      </c>
      <c r="E48" s="217">
        <v>306</v>
      </c>
      <c r="F48" s="218">
        <f>E48/K48*100</f>
        <v>94.73684210526315</v>
      </c>
      <c r="G48" s="219">
        <v>11</v>
      </c>
      <c r="H48" s="220">
        <f>G48/K48*100</f>
        <v>3.4055727554179565</v>
      </c>
      <c r="I48" s="221">
        <v>6</v>
      </c>
      <c r="J48" s="220">
        <f>I48/K48*100</f>
        <v>1.8575851393188854</v>
      </c>
      <c r="K48" s="221">
        <f t="shared" si="3"/>
        <v>323</v>
      </c>
      <c r="L48" s="143">
        <f t="shared" si="26"/>
        <v>90.22346368715084</v>
      </c>
      <c r="M48" s="214">
        <v>54</v>
      </c>
      <c r="N48" s="143">
        <f>M48/E48*100</f>
        <v>17.647058823529413</v>
      </c>
      <c r="O48" s="223">
        <v>1</v>
      </c>
      <c r="P48" s="141">
        <f t="shared" ref="P48" si="27">O48/G48*100</f>
        <v>9.0909090909090917</v>
      </c>
      <c r="Q48" s="216">
        <v>0</v>
      </c>
      <c r="R48" s="143">
        <v>0</v>
      </c>
      <c r="S48" s="223">
        <f t="shared" si="5"/>
        <v>55</v>
      </c>
      <c r="T48" s="224">
        <f>S48/K48*100</f>
        <v>17.027863777089784</v>
      </c>
    </row>
    <row r="49" spans="1:21" ht="16.899999999999999" customHeight="1">
      <c r="A49" s="13" t="s">
        <v>70</v>
      </c>
      <c r="B49" s="136"/>
      <c r="C49" s="341"/>
      <c r="D49" s="145"/>
      <c r="E49" s="342"/>
      <c r="F49" s="343"/>
      <c r="G49" s="344"/>
      <c r="H49" s="345"/>
      <c r="I49" s="346">
        <v>4</v>
      </c>
      <c r="J49" s="345"/>
      <c r="K49" s="346">
        <f t="shared" si="3"/>
        <v>4</v>
      </c>
      <c r="L49" s="143"/>
      <c r="M49" s="136"/>
      <c r="N49" s="137"/>
      <c r="O49" s="142"/>
      <c r="P49" s="144"/>
      <c r="Q49" s="145"/>
      <c r="R49" s="137"/>
      <c r="S49" s="142">
        <f t="shared" si="5"/>
        <v>0</v>
      </c>
      <c r="T49" s="224">
        <f t="shared" ref="T49:T50" si="28">S49/K49*100</f>
        <v>0</v>
      </c>
    </row>
    <row r="50" spans="1:21" ht="16.899999999999999" customHeight="1" thickBot="1">
      <c r="A50" s="14" t="s">
        <v>71</v>
      </c>
      <c r="B50" s="214"/>
      <c r="C50" s="215"/>
      <c r="D50" s="216"/>
      <c r="E50" s="217"/>
      <c r="F50" s="218"/>
      <c r="G50" s="219"/>
      <c r="H50" s="220"/>
      <c r="I50" s="221">
        <v>2</v>
      </c>
      <c r="J50" s="220"/>
      <c r="K50" s="221">
        <f t="shared" si="3"/>
        <v>2</v>
      </c>
      <c r="L50" s="143"/>
      <c r="M50" s="214"/>
      <c r="N50" s="143"/>
      <c r="O50" s="223"/>
      <c r="P50" s="155"/>
      <c r="Q50" s="157"/>
      <c r="R50" s="151"/>
      <c r="S50" s="156">
        <f t="shared" si="5"/>
        <v>0</v>
      </c>
      <c r="T50" s="224">
        <f t="shared" si="28"/>
        <v>0</v>
      </c>
    </row>
    <row r="51" spans="1:21" ht="16.899999999999999" customHeight="1">
      <c r="A51" s="266" t="s">
        <v>72</v>
      </c>
      <c r="B51" s="267">
        <f>SUM(B52)</f>
        <v>1410</v>
      </c>
      <c r="C51" s="268">
        <f>SUM(C52)</f>
        <v>80</v>
      </c>
      <c r="D51" s="269">
        <f>SUM(D52)</f>
        <v>80</v>
      </c>
      <c r="E51" s="267">
        <v>0</v>
      </c>
      <c r="F51" s="333">
        <v>0</v>
      </c>
      <c r="G51" s="273">
        <v>0</v>
      </c>
      <c r="H51" s="334">
        <v>0</v>
      </c>
      <c r="I51" s="347">
        <f>SUM(I52)</f>
        <v>80</v>
      </c>
      <c r="J51" s="334">
        <f>I51/K51*100</f>
        <v>100</v>
      </c>
      <c r="K51" s="269">
        <f>SUM(I51,E51,G51)</f>
        <v>80</v>
      </c>
      <c r="L51" s="168">
        <f t="shared" ref="L51:L55" si="29">+K51/D51*100</f>
        <v>100</v>
      </c>
      <c r="M51" s="267">
        <v>0</v>
      </c>
      <c r="N51" s="333">
        <v>0</v>
      </c>
      <c r="O51" s="273">
        <v>0</v>
      </c>
      <c r="P51" s="334">
        <v>0</v>
      </c>
      <c r="Q51" s="271">
        <f>SUM(Q52)</f>
        <v>1</v>
      </c>
      <c r="R51" s="336">
        <f>Q51/I51*100</f>
        <v>1.25</v>
      </c>
      <c r="S51" s="273">
        <f t="shared" si="5"/>
        <v>1</v>
      </c>
      <c r="T51" s="348">
        <f>S51/K51*100</f>
        <v>1.25</v>
      </c>
    </row>
    <row r="52" spans="1:21" ht="16.899999999999999" customHeight="1" thickBot="1">
      <c r="A52" s="349" t="s">
        <v>73</v>
      </c>
      <c r="B52" s="350">
        <f>1369+41</f>
        <v>1410</v>
      </c>
      <c r="C52" s="351">
        <v>80</v>
      </c>
      <c r="D52" s="352">
        <f>76+4</f>
        <v>80</v>
      </c>
      <c r="E52" s="350">
        <v>0</v>
      </c>
      <c r="F52" s="353">
        <v>0</v>
      </c>
      <c r="G52" s="354">
        <v>0</v>
      </c>
      <c r="H52" s="355">
        <v>0</v>
      </c>
      <c r="I52" s="356">
        <v>80</v>
      </c>
      <c r="J52" s="246">
        <f>I52/K52*100</f>
        <v>100</v>
      </c>
      <c r="K52" s="356">
        <f t="shared" si="3"/>
        <v>80</v>
      </c>
      <c r="L52" s="357">
        <f t="shared" si="29"/>
        <v>100</v>
      </c>
      <c r="M52" s="240">
        <v>0</v>
      </c>
      <c r="N52" s="249">
        <v>0</v>
      </c>
      <c r="O52" s="250">
        <v>0</v>
      </c>
      <c r="P52" s="251">
        <v>0</v>
      </c>
      <c r="Q52" s="242">
        <v>1</v>
      </c>
      <c r="R52" s="249">
        <f>Q52/I52*100</f>
        <v>1.25</v>
      </c>
      <c r="S52" s="250">
        <f t="shared" si="5"/>
        <v>1</v>
      </c>
      <c r="T52" s="252">
        <f>S52/K52*100</f>
        <v>1.25</v>
      </c>
    </row>
    <row r="53" spans="1:21" ht="16.899999999999999" customHeight="1">
      <c r="A53" s="266" t="s">
        <v>74</v>
      </c>
      <c r="B53" s="267">
        <f t="shared" ref="B53:I53" si="30">SUM(B54)</f>
        <v>353</v>
      </c>
      <c r="C53" s="268">
        <f t="shared" si="30"/>
        <v>30</v>
      </c>
      <c r="D53" s="269">
        <f t="shared" si="30"/>
        <v>30</v>
      </c>
      <c r="E53" s="232">
        <f t="shared" si="30"/>
        <v>0</v>
      </c>
      <c r="F53" s="358">
        <f t="shared" si="30"/>
        <v>0</v>
      </c>
      <c r="G53" s="271">
        <f t="shared" si="30"/>
        <v>0</v>
      </c>
      <c r="H53" s="359">
        <f t="shared" si="30"/>
        <v>0</v>
      </c>
      <c r="I53" s="269">
        <f t="shared" si="30"/>
        <v>30</v>
      </c>
      <c r="J53" s="360">
        <f>I53/K53*100</f>
        <v>100</v>
      </c>
      <c r="K53" s="361">
        <f t="shared" si="3"/>
        <v>30</v>
      </c>
      <c r="L53" s="168">
        <f t="shared" si="29"/>
        <v>100</v>
      </c>
      <c r="M53" s="267">
        <f>SUM(M54)</f>
        <v>0</v>
      </c>
      <c r="N53" s="269">
        <f>SUM(N54)</f>
        <v>0</v>
      </c>
      <c r="O53" s="271">
        <f>SUM(O54)</f>
        <v>0</v>
      </c>
      <c r="P53" s="359">
        <f>SUM(P54)</f>
        <v>0</v>
      </c>
      <c r="Q53" s="269">
        <f>SUM(Q54)</f>
        <v>0</v>
      </c>
      <c r="R53" s="336">
        <f>Q53/I53*100</f>
        <v>0</v>
      </c>
      <c r="S53" s="273">
        <f t="shared" si="5"/>
        <v>0</v>
      </c>
      <c r="T53" s="348">
        <f>S53/K53*100</f>
        <v>0</v>
      </c>
    </row>
    <row r="54" spans="1:21" ht="16.899999999999999" customHeight="1" thickBot="1">
      <c r="A54" s="362" t="s">
        <v>75</v>
      </c>
      <c r="B54" s="363">
        <v>353</v>
      </c>
      <c r="C54" s="364">
        <v>30</v>
      </c>
      <c r="D54" s="365">
        <v>30</v>
      </c>
      <c r="E54" s="366">
        <v>0</v>
      </c>
      <c r="F54" s="367">
        <v>0</v>
      </c>
      <c r="G54" s="368">
        <v>0</v>
      </c>
      <c r="H54" s="369">
        <v>0</v>
      </c>
      <c r="I54" s="370">
        <v>30</v>
      </c>
      <c r="J54" s="371">
        <f>I54/K54*100</f>
        <v>100</v>
      </c>
      <c r="K54" s="370">
        <f t="shared" si="3"/>
        <v>30</v>
      </c>
      <c r="L54" s="372">
        <f t="shared" si="29"/>
        <v>100</v>
      </c>
      <c r="M54" s="363">
        <v>0</v>
      </c>
      <c r="N54" s="372">
        <v>0</v>
      </c>
      <c r="O54" s="373">
        <v>0</v>
      </c>
      <c r="P54" s="374">
        <v>0</v>
      </c>
      <c r="Q54" s="365">
        <v>0</v>
      </c>
      <c r="R54" s="372">
        <v>0</v>
      </c>
      <c r="S54" s="375">
        <f t="shared" si="5"/>
        <v>0</v>
      </c>
      <c r="T54" s="252">
        <f>S54/K54*100</f>
        <v>0</v>
      </c>
    </row>
    <row r="55" spans="1:21" s="15" customFormat="1" ht="16.899999999999999" customHeight="1" thickBot="1">
      <c r="A55" s="376" t="s">
        <v>76</v>
      </c>
      <c r="B55" s="377">
        <f>SUM(B6,B14,B17,B21,B45,B51,B53)</f>
        <v>17101</v>
      </c>
      <c r="C55" s="378">
        <f t="shared" ref="C55:D55" si="31">SUM(C6,C14,C17,C21,C45,C51,C53)</f>
        <v>3110</v>
      </c>
      <c r="D55" s="379">
        <f t="shared" si="31"/>
        <v>4329</v>
      </c>
      <c r="E55" s="377">
        <f>SUM(E6,E14,E17,E21,E45,E51,E53)</f>
        <v>3141</v>
      </c>
      <c r="F55" s="380">
        <f>E55/K55*100</f>
        <v>75.759768451519534</v>
      </c>
      <c r="G55" s="381">
        <f>SUM(G6,G14,G17,G21,G45,G51,G53)</f>
        <v>377</v>
      </c>
      <c r="H55" s="382">
        <f>G55/K55*100</f>
        <v>9.0931017848528715</v>
      </c>
      <c r="I55" s="379">
        <f>SUM(I6,I14,I17,I21,I45,I51,I53)</f>
        <v>628</v>
      </c>
      <c r="J55" s="382">
        <f>I55/K55*100</f>
        <v>15.147129763627593</v>
      </c>
      <c r="K55" s="379">
        <f>SUM(K6,K14,K17,K21,K45,K51,K53)</f>
        <v>4146</v>
      </c>
      <c r="L55" s="383">
        <f t="shared" si="29"/>
        <v>95.772695772695769</v>
      </c>
      <c r="M55" s="377">
        <f>SUM(M6,M14,M17,M21,M45,M51,M53)</f>
        <v>245</v>
      </c>
      <c r="N55" s="380">
        <f>M55/E55*100</f>
        <v>7.8000636739891753</v>
      </c>
      <c r="O55" s="381">
        <f>SUM(O6,O14,O17,O21,O45,O51,O53)</f>
        <v>24</v>
      </c>
      <c r="P55" s="382">
        <f>O55/G55*100</f>
        <v>6.3660477453580899</v>
      </c>
      <c r="Q55" s="379">
        <f>SUM(Q6,Q14,Q17,Q21,Q45,Q51,Q53)</f>
        <v>54</v>
      </c>
      <c r="R55" s="380">
        <f>Q55/I55*100</f>
        <v>8.598726114649681</v>
      </c>
      <c r="S55" s="381">
        <f>SUM(S6,S14,S17,S21,S45,S51,S53)</f>
        <v>323</v>
      </c>
      <c r="T55" s="384">
        <f>S55/K55*100</f>
        <v>7.7906415822479493</v>
      </c>
      <c r="U55" s="31"/>
    </row>
    <row r="56" spans="1:21" ht="89.45" customHeight="1">
      <c r="A56" s="927" t="s">
        <v>82</v>
      </c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</row>
    <row r="57" spans="1:21" ht="18" customHeight="1">
      <c r="A57" s="16" t="s">
        <v>77</v>
      </c>
    </row>
  </sheetData>
  <mergeCells count="16">
    <mergeCell ref="A56:T56"/>
    <mergeCell ref="A1:T1"/>
    <mergeCell ref="A3:A5"/>
    <mergeCell ref="B3:B5"/>
    <mergeCell ref="C3:C5"/>
    <mergeCell ref="D3:D5"/>
    <mergeCell ref="E3:J3"/>
    <mergeCell ref="K3:L4"/>
    <mergeCell ref="M3:R3"/>
    <mergeCell ref="S3:T4"/>
    <mergeCell ref="E4:F4"/>
    <mergeCell ref="G4:H4"/>
    <mergeCell ref="I4:J4"/>
    <mergeCell ref="M4:N4"/>
    <mergeCell ref="O4:P4"/>
    <mergeCell ref="Q4:R4"/>
  </mergeCells>
  <printOptions horizontalCentered="1"/>
  <pageMargins left="0.47" right="0.31496062992125984" top="0.56000000000000005" bottom="0.37" header="0.15748031496062992" footer="0.15748031496062992"/>
  <pageSetup paperSize="9" scale="77" orientation="landscape" r:id="rId1"/>
  <headerFooter>
    <oddFooter>&amp;L&amp;"TH SarabunPSK,Regular"&amp;8&amp;K00+000&amp;Z&amp;F&amp;R&amp;"TH SarabunPSK,Regular"&amp;16&amp;K00+000&amp;P</oddFooter>
  </headerFooter>
  <rowBreaks count="1" manualBreakCount="1">
    <brk id="3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6"/>
  <sheetViews>
    <sheetView showZeros="0" view="pageBreakPreview" topLeftCell="A16" zoomScaleNormal="100" zoomScaleSheetLayoutView="100" workbookViewId="0">
      <selection activeCell="A35" sqref="A35"/>
    </sheetView>
  </sheetViews>
  <sheetFormatPr defaultRowHeight="15"/>
  <cols>
    <col min="1" max="1" width="29" style="53" customWidth="1"/>
    <col min="2" max="2" width="9.85546875" style="17" customWidth="1"/>
    <col min="3" max="3" width="8.42578125" style="17" customWidth="1"/>
    <col min="4" max="4" width="8.85546875" style="17" customWidth="1"/>
    <col min="5" max="5" width="8.85546875" style="52" customWidth="1"/>
    <col min="6" max="6" width="9.5703125" style="51" bestFit="1" customWidth="1"/>
    <col min="7" max="7" width="5.140625" style="52" customWidth="1"/>
    <col min="8" max="8" width="9.5703125" style="51" bestFit="1" customWidth="1"/>
    <col min="9" max="9" width="5.140625" style="52" customWidth="1"/>
    <col min="10" max="10" width="9.140625" style="51" customWidth="1"/>
    <col min="11" max="11" width="8.7109375" style="52" customWidth="1"/>
    <col min="12" max="12" width="8.28515625" style="54" customWidth="1"/>
    <col min="13" max="13" width="6" style="52" customWidth="1"/>
    <col min="14" max="14" width="8" style="51" customWidth="1"/>
    <col min="15" max="15" width="5.85546875" style="52" customWidth="1"/>
    <col min="16" max="16" width="8" style="51" customWidth="1"/>
    <col min="17" max="17" width="5.42578125" style="52" customWidth="1"/>
    <col min="18" max="18" width="8.28515625" style="51" customWidth="1"/>
    <col min="19" max="19" width="9.28515625" style="52" customWidth="1"/>
    <col min="20" max="20" width="8" style="51" customWidth="1"/>
    <col min="22" max="22" width="23.7109375" customWidth="1"/>
    <col min="24" max="24" width="14.85546875" customWidth="1"/>
  </cols>
  <sheetData>
    <row r="1" spans="1:24" ht="27.75" customHeight="1">
      <c r="A1" s="928" t="s">
        <v>83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</row>
    <row r="2" spans="1:24" ht="16.149999999999999" customHeight="1" thickBot="1">
      <c r="A2" s="2" t="s">
        <v>1</v>
      </c>
      <c r="B2" s="3"/>
      <c r="C2" s="3"/>
      <c r="D2" s="3"/>
      <c r="E2" s="32">
        <f>SUM(E7:E53)</f>
        <v>5617</v>
      </c>
      <c r="F2" s="33">
        <f t="shared" ref="F2" si="0">E2/K2*100</f>
        <v>72.957526951552154</v>
      </c>
      <c r="G2" s="32">
        <f>SUM(G7:G53)</f>
        <v>770</v>
      </c>
      <c r="H2" s="33">
        <f t="shared" ref="H2" si="1">G2/K2*100</f>
        <v>10.001298869983115</v>
      </c>
      <c r="I2" s="32">
        <f>SUM(I7:I53)</f>
        <v>1312</v>
      </c>
      <c r="J2" s="33">
        <f t="shared" ref="J2" si="2">I2/K2*100</f>
        <v>17.041174178464736</v>
      </c>
      <c r="K2" s="32">
        <f>SUM(K7:K53)</f>
        <v>7699</v>
      </c>
      <c r="L2" s="33"/>
      <c r="M2" s="32">
        <f>SUM(M7:M53)</f>
        <v>456</v>
      </c>
      <c r="N2" s="33">
        <f t="shared" ref="N2" si="3">M2/E2*100</f>
        <v>8.1182125689870048</v>
      </c>
      <c r="O2" s="32">
        <f>SUM(O7:O53)</f>
        <v>95</v>
      </c>
      <c r="P2" s="33">
        <f t="shared" ref="P2" si="4">O2/G2*100</f>
        <v>12.337662337662337</v>
      </c>
      <c r="Q2" s="32">
        <f>SUM(Q7:Q53)</f>
        <v>146</v>
      </c>
      <c r="R2" s="33">
        <f>Q2/I2*100</f>
        <v>11.128048780487806</v>
      </c>
      <c r="S2" s="32">
        <f>SUM(S7:S53)</f>
        <v>697</v>
      </c>
      <c r="T2" s="33"/>
      <c r="V2" s="34"/>
      <c r="W2" s="35" t="s">
        <v>84</v>
      </c>
      <c r="X2" s="36"/>
    </row>
    <row r="3" spans="1:24" ht="47.45" customHeight="1" thickBot="1">
      <c r="A3" s="921" t="s">
        <v>2</v>
      </c>
      <c r="B3" s="953" t="s">
        <v>3</v>
      </c>
      <c r="C3" s="933" t="s">
        <v>4</v>
      </c>
      <c r="D3" s="955" t="s">
        <v>5</v>
      </c>
      <c r="E3" s="957" t="s">
        <v>6</v>
      </c>
      <c r="F3" s="958"/>
      <c r="G3" s="958"/>
      <c r="H3" s="958"/>
      <c r="I3" s="958"/>
      <c r="J3" s="959"/>
      <c r="K3" s="937" t="s">
        <v>7</v>
      </c>
      <c r="L3" s="923"/>
      <c r="M3" s="958" t="s">
        <v>81</v>
      </c>
      <c r="N3" s="958"/>
      <c r="O3" s="958"/>
      <c r="P3" s="958"/>
      <c r="Q3" s="958"/>
      <c r="R3" s="958"/>
      <c r="S3" s="937" t="s">
        <v>7</v>
      </c>
      <c r="T3" s="923"/>
      <c r="V3" s="962" t="s">
        <v>85</v>
      </c>
      <c r="W3" s="963" t="s">
        <v>86</v>
      </c>
      <c r="X3" s="964" t="s">
        <v>87</v>
      </c>
    </row>
    <row r="4" spans="1:24" ht="21.75" customHeight="1" thickBot="1">
      <c r="A4" s="929"/>
      <c r="B4" s="954"/>
      <c r="C4" s="934"/>
      <c r="D4" s="956"/>
      <c r="E4" s="957" t="s">
        <v>8</v>
      </c>
      <c r="F4" s="958"/>
      <c r="G4" s="965" t="s">
        <v>9</v>
      </c>
      <c r="H4" s="959"/>
      <c r="I4" s="958" t="s">
        <v>10</v>
      </c>
      <c r="J4" s="959"/>
      <c r="K4" s="960"/>
      <c r="L4" s="961"/>
      <c r="M4" s="958" t="s">
        <v>8</v>
      </c>
      <c r="N4" s="958"/>
      <c r="O4" s="965" t="s">
        <v>9</v>
      </c>
      <c r="P4" s="959"/>
      <c r="Q4" s="958" t="s">
        <v>10</v>
      </c>
      <c r="R4" s="958"/>
      <c r="S4" s="960"/>
      <c r="T4" s="961"/>
      <c r="V4" s="962"/>
      <c r="W4" s="963"/>
      <c r="X4" s="964"/>
    </row>
    <row r="5" spans="1:24" ht="45.75" customHeight="1" thickBot="1">
      <c r="A5" s="930"/>
      <c r="B5" s="954"/>
      <c r="C5" s="934"/>
      <c r="D5" s="956"/>
      <c r="E5" s="37" t="s">
        <v>11</v>
      </c>
      <c r="F5" s="38" t="s">
        <v>12</v>
      </c>
      <c r="G5" s="39" t="s">
        <v>13</v>
      </c>
      <c r="H5" s="40" t="s">
        <v>14</v>
      </c>
      <c r="I5" s="41" t="s">
        <v>15</v>
      </c>
      <c r="J5" s="40" t="s">
        <v>16</v>
      </c>
      <c r="K5" s="42" t="s">
        <v>17</v>
      </c>
      <c r="L5" s="40" t="s">
        <v>18</v>
      </c>
      <c r="M5" s="37" t="s">
        <v>19</v>
      </c>
      <c r="N5" s="38" t="s">
        <v>20</v>
      </c>
      <c r="O5" s="39" t="s">
        <v>21</v>
      </c>
      <c r="P5" s="40" t="s">
        <v>22</v>
      </c>
      <c r="Q5" s="41" t="s">
        <v>23</v>
      </c>
      <c r="R5" s="38" t="s">
        <v>24</v>
      </c>
      <c r="S5" s="42" t="s">
        <v>25</v>
      </c>
      <c r="T5" s="43" t="s">
        <v>26</v>
      </c>
      <c r="V5" s="962"/>
      <c r="W5" s="963"/>
      <c r="X5" s="964"/>
    </row>
    <row r="6" spans="1:24" ht="21.95" customHeight="1">
      <c r="A6" s="293" t="s">
        <v>27</v>
      </c>
      <c r="B6" s="267">
        <f>SUM(B7:B8)</f>
        <v>857</v>
      </c>
      <c r="C6" s="268">
        <f t="shared" ref="C6:D6" si="5">SUM(C7:C8)</f>
        <v>180</v>
      </c>
      <c r="D6" s="420">
        <f t="shared" si="5"/>
        <v>101</v>
      </c>
      <c r="E6" s="267">
        <f>SUM(E7:E8)</f>
        <v>68</v>
      </c>
      <c r="F6" s="333">
        <f>E6/K6*100</f>
        <v>70.833333333333343</v>
      </c>
      <c r="G6" s="273">
        <f>SUM(G7:G8)</f>
        <v>10</v>
      </c>
      <c r="H6" s="334">
        <f t="shared" ref="H6" si="6">G6/K6*100</f>
        <v>10.416666666666668</v>
      </c>
      <c r="I6" s="269">
        <f>SUM(I7:I8)</f>
        <v>18</v>
      </c>
      <c r="J6" s="334">
        <f t="shared" ref="J6" si="7">I6/K6*100</f>
        <v>18.75</v>
      </c>
      <c r="K6" s="269">
        <f>SUM(K7:K8)</f>
        <v>96</v>
      </c>
      <c r="L6" s="337">
        <f>+K6/D6*100</f>
        <v>95.049504950495049</v>
      </c>
      <c r="M6" s="269">
        <f>SUM(M7:M13)</f>
        <v>10</v>
      </c>
      <c r="N6" s="333">
        <f>M6/E6*100</f>
        <v>14.705882352941178</v>
      </c>
      <c r="O6" s="273">
        <f t="shared" ref="O6" si="8">SUM(O7:O9)</f>
        <v>1</v>
      </c>
      <c r="P6" s="334">
        <f t="shared" ref="P6" si="9">O6/G6*100</f>
        <v>10</v>
      </c>
      <c r="Q6" s="269">
        <f>SUM(Q7:Q13)</f>
        <v>0</v>
      </c>
      <c r="R6" s="333">
        <v>0</v>
      </c>
      <c r="S6" s="273">
        <f>SUM(S7:S13)</f>
        <v>11</v>
      </c>
      <c r="T6" s="337">
        <f t="shared" ref="T6" si="10">S6/K6*100</f>
        <v>11.458333333333332</v>
      </c>
    </row>
    <row r="7" spans="1:24" s="44" customFormat="1" ht="20.65" customHeight="1">
      <c r="A7" s="275" t="s">
        <v>28</v>
      </c>
      <c r="B7" s="240">
        <f>241+2+1+2+1+30</f>
        <v>277</v>
      </c>
      <c r="C7" s="241">
        <v>60</v>
      </c>
      <c r="D7" s="421">
        <f>73+1+10</f>
        <v>84</v>
      </c>
      <c r="E7" s="243">
        <v>68</v>
      </c>
      <c r="F7" s="246">
        <f>E7/K7*100</f>
        <v>86.075949367088612</v>
      </c>
      <c r="G7" s="245">
        <v>10</v>
      </c>
      <c r="H7" s="246">
        <f>G7/K7*100</f>
        <v>12.658227848101266</v>
      </c>
      <c r="I7" s="245">
        <v>1</v>
      </c>
      <c r="J7" s="422">
        <f>I7/K7*100</f>
        <v>1.2658227848101267</v>
      </c>
      <c r="K7" s="245">
        <f>SUM(E7,G7,I7)</f>
        <v>79</v>
      </c>
      <c r="L7" s="197">
        <f t="shared" ref="L7:L9" si="11">+K7/D7*100</f>
        <v>94.047619047619051</v>
      </c>
      <c r="M7" s="240">
        <v>10</v>
      </c>
      <c r="N7" s="251">
        <f>M7/E7*100</f>
        <v>14.705882352941178</v>
      </c>
      <c r="O7" s="250">
        <v>1</v>
      </c>
      <c r="P7" s="251">
        <f>O7/G7*100</f>
        <v>10</v>
      </c>
      <c r="Q7" s="250">
        <v>0</v>
      </c>
      <c r="R7" s="249">
        <v>0</v>
      </c>
      <c r="S7" s="250">
        <f>SUM(M7,O7,Q7)</f>
        <v>11</v>
      </c>
      <c r="T7" s="252">
        <f>S7/K7*100</f>
        <v>13.924050632911392</v>
      </c>
    </row>
    <row r="8" spans="1:24" s="44" customFormat="1" ht="20.65" customHeight="1">
      <c r="A8" s="186" t="s">
        <v>29</v>
      </c>
      <c r="B8" s="423">
        <f>SUM(B9:B13)</f>
        <v>580</v>
      </c>
      <c r="C8" s="424">
        <f t="shared" ref="C8:D8" si="12">SUM(C9:C13)</f>
        <v>120</v>
      </c>
      <c r="D8" s="425">
        <f t="shared" si="12"/>
        <v>17</v>
      </c>
      <c r="E8" s="426">
        <v>0</v>
      </c>
      <c r="F8" s="427">
        <v>0</v>
      </c>
      <c r="G8" s="428">
        <v>0</v>
      </c>
      <c r="H8" s="422">
        <v>0</v>
      </c>
      <c r="I8" s="428">
        <f>SUM(I9:I13)</f>
        <v>17</v>
      </c>
      <c r="J8" s="422">
        <f>I8/K8*100</f>
        <v>100</v>
      </c>
      <c r="K8" s="428">
        <f t="shared" ref="K8" si="13">SUM(I8,E8,G8)</f>
        <v>17</v>
      </c>
      <c r="L8" s="429">
        <f t="shared" si="11"/>
        <v>100</v>
      </c>
      <c r="M8" s="430">
        <v>0</v>
      </c>
      <c r="N8" s="422">
        <v>0</v>
      </c>
      <c r="O8" s="428">
        <v>0</v>
      </c>
      <c r="P8" s="422">
        <v>0</v>
      </c>
      <c r="Q8" s="428">
        <v>0</v>
      </c>
      <c r="R8" s="427">
        <v>0</v>
      </c>
      <c r="S8" s="428">
        <f t="shared" ref="S8:S9" si="14">SUM(M8,O8,Q8)</f>
        <v>0</v>
      </c>
      <c r="T8" s="429">
        <v>0</v>
      </c>
    </row>
    <row r="9" spans="1:24" s="44" customFormat="1" ht="20.65" customHeight="1">
      <c r="A9" s="213" t="s">
        <v>30</v>
      </c>
      <c r="B9" s="136">
        <f>569+11</f>
        <v>580</v>
      </c>
      <c r="C9" s="341">
        <v>120</v>
      </c>
      <c r="D9" s="431">
        <v>17</v>
      </c>
      <c r="E9" s="217">
        <v>0</v>
      </c>
      <c r="F9" s="220">
        <v>0</v>
      </c>
      <c r="G9" s="219">
        <v>0</v>
      </c>
      <c r="H9" s="220">
        <v>0</v>
      </c>
      <c r="I9" s="219">
        <v>11</v>
      </c>
      <c r="J9" s="220">
        <f>I9/K9*100</f>
        <v>100</v>
      </c>
      <c r="K9" s="219">
        <f t="shared" ref="K9:K51" si="15">SUM(E9,G9,I9)</f>
        <v>11</v>
      </c>
      <c r="L9" s="197">
        <f t="shared" si="11"/>
        <v>64.705882352941174</v>
      </c>
      <c r="M9" s="430">
        <v>0</v>
      </c>
      <c r="N9" s="422">
        <v>0</v>
      </c>
      <c r="O9" s="428">
        <v>0</v>
      </c>
      <c r="P9" s="422">
        <v>0</v>
      </c>
      <c r="Q9" s="428">
        <v>0</v>
      </c>
      <c r="R9" s="427">
        <v>0</v>
      </c>
      <c r="S9" s="428">
        <f t="shared" si="14"/>
        <v>0</v>
      </c>
      <c r="T9" s="429">
        <v>0</v>
      </c>
    </row>
    <row r="10" spans="1:24" s="44" customFormat="1" ht="20.65" customHeight="1">
      <c r="A10" s="432" t="s">
        <v>31</v>
      </c>
      <c r="B10" s="123"/>
      <c r="C10" s="433"/>
      <c r="D10" s="434"/>
      <c r="E10" s="435"/>
      <c r="F10" s="436"/>
      <c r="G10" s="437"/>
      <c r="H10" s="436"/>
      <c r="I10" s="437">
        <v>1</v>
      </c>
      <c r="J10" s="436">
        <f t="shared" ref="J10:J51" si="16">I10/K10*100</f>
        <v>100</v>
      </c>
      <c r="K10" s="437">
        <f t="shared" si="15"/>
        <v>1</v>
      </c>
      <c r="L10" s="131"/>
      <c r="M10" s="123"/>
      <c r="N10" s="128"/>
      <c r="O10" s="129"/>
      <c r="P10" s="128"/>
      <c r="Q10" s="129"/>
      <c r="R10" s="124"/>
      <c r="S10" s="129"/>
      <c r="T10" s="438"/>
    </row>
    <row r="11" spans="1:24" s="44" customFormat="1" ht="20.65" customHeight="1">
      <c r="A11" s="213" t="s">
        <v>32</v>
      </c>
      <c r="B11" s="214"/>
      <c r="C11" s="215"/>
      <c r="D11" s="439"/>
      <c r="E11" s="217"/>
      <c r="F11" s="220"/>
      <c r="G11" s="219"/>
      <c r="H11" s="220"/>
      <c r="I11" s="219">
        <v>2</v>
      </c>
      <c r="J11" s="220">
        <f t="shared" si="16"/>
        <v>100</v>
      </c>
      <c r="K11" s="219">
        <f t="shared" si="15"/>
        <v>2</v>
      </c>
      <c r="L11" s="224"/>
      <c r="M11" s="214"/>
      <c r="N11" s="141"/>
      <c r="O11" s="223"/>
      <c r="P11" s="141"/>
      <c r="Q11" s="223"/>
      <c r="R11" s="143"/>
      <c r="S11" s="223"/>
      <c r="T11" s="222"/>
    </row>
    <row r="12" spans="1:24" s="44" customFormat="1" ht="20.65" customHeight="1">
      <c r="A12" s="440" t="s">
        <v>33</v>
      </c>
      <c r="B12" s="207"/>
      <c r="C12" s="226"/>
      <c r="D12" s="441"/>
      <c r="E12" s="202"/>
      <c r="F12" s="205"/>
      <c r="G12" s="204"/>
      <c r="H12" s="205"/>
      <c r="I12" s="204">
        <v>0</v>
      </c>
      <c r="J12" s="205">
        <v>0</v>
      </c>
      <c r="K12" s="204">
        <f t="shared" si="15"/>
        <v>0</v>
      </c>
      <c r="L12" s="212"/>
      <c r="M12" s="207"/>
      <c r="N12" s="210"/>
      <c r="O12" s="209"/>
      <c r="P12" s="210"/>
      <c r="Q12" s="209"/>
      <c r="R12" s="208"/>
      <c r="S12" s="209"/>
      <c r="T12" s="227"/>
    </row>
    <row r="13" spans="1:24" s="44" customFormat="1" ht="20.65" customHeight="1" thickBot="1">
      <c r="A13" s="225" t="s">
        <v>34</v>
      </c>
      <c r="B13" s="207"/>
      <c r="C13" s="226"/>
      <c r="D13" s="441"/>
      <c r="E13" s="202"/>
      <c r="F13" s="205"/>
      <c r="G13" s="204"/>
      <c r="H13" s="205"/>
      <c r="I13" s="204">
        <v>3</v>
      </c>
      <c r="J13" s="205">
        <f t="shared" si="16"/>
        <v>100</v>
      </c>
      <c r="K13" s="204">
        <f t="shared" si="15"/>
        <v>3</v>
      </c>
      <c r="L13" s="212"/>
      <c r="M13" s="207"/>
      <c r="N13" s="210"/>
      <c r="O13" s="209"/>
      <c r="P13" s="210"/>
      <c r="Q13" s="209"/>
      <c r="R13" s="208"/>
      <c r="S13" s="209"/>
      <c r="T13" s="227"/>
    </row>
    <row r="14" spans="1:24" ht="21.95" customHeight="1">
      <c r="A14" s="228" t="s">
        <v>35</v>
      </c>
      <c r="B14" s="394">
        <f>SUM(B15:B16)</f>
        <v>2189</v>
      </c>
      <c r="C14" s="230">
        <f>SUM(C15:C16)</f>
        <v>290</v>
      </c>
      <c r="D14" s="395">
        <f>SUM(D15:D16)</f>
        <v>469</v>
      </c>
      <c r="E14" s="232">
        <f t="shared" ref="E14:S14" si="17">SUM(E15:E16)</f>
        <v>354</v>
      </c>
      <c r="F14" s="233">
        <f>E14/K14*100</f>
        <v>77.292576419213972</v>
      </c>
      <c r="G14" s="234">
        <f t="shared" si="17"/>
        <v>89</v>
      </c>
      <c r="H14" s="235">
        <f t="shared" ref="H14:H21" si="18">G14/K14*100</f>
        <v>19.432314410480352</v>
      </c>
      <c r="I14" s="234">
        <f t="shared" si="17"/>
        <v>15</v>
      </c>
      <c r="J14" s="235">
        <f t="shared" si="16"/>
        <v>3.2751091703056767</v>
      </c>
      <c r="K14" s="234">
        <f t="shared" si="17"/>
        <v>458</v>
      </c>
      <c r="L14" s="236">
        <f>+K14/D14*100</f>
        <v>97.654584221748394</v>
      </c>
      <c r="M14" s="165">
        <f t="shared" si="17"/>
        <v>24</v>
      </c>
      <c r="N14" s="237">
        <f>M14/E14*100</f>
        <v>6.7796610169491522</v>
      </c>
      <c r="O14" s="169">
        <f t="shared" si="17"/>
        <v>8</v>
      </c>
      <c r="P14" s="237">
        <f>+O14/G14*100</f>
        <v>8.9887640449438209</v>
      </c>
      <c r="Q14" s="169">
        <f t="shared" si="17"/>
        <v>1</v>
      </c>
      <c r="R14" s="233">
        <f>+Q14/I14*100</f>
        <v>6.666666666666667</v>
      </c>
      <c r="S14" s="234">
        <f t="shared" si="17"/>
        <v>33</v>
      </c>
      <c r="T14" s="238">
        <f t="shared" ref="T14:T35" si="19">S14/K14*100</f>
        <v>7.2052401746724897</v>
      </c>
    </row>
    <row r="15" spans="1:24" ht="20.65" customHeight="1">
      <c r="A15" s="239" t="s">
        <v>36</v>
      </c>
      <c r="B15" s="240">
        <f>542+16+1+21+3+80</f>
        <v>663</v>
      </c>
      <c r="C15" s="241">
        <v>200</v>
      </c>
      <c r="D15" s="421">
        <f>242+12+56</f>
        <v>310</v>
      </c>
      <c r="E15" s="243">
        <v>232</v>
      </c>
      <c r="F15" s="246">
        <f t="shared" ref="F15:F47" si="20">E15/K15*100</f>
        <v>77.076411960132901</v>
      </c>
      <c r="G15" s="245">
        <v>56</v>
      </c>
      <c r="H15" s="179">
        <f t="shared" si="18"/>
        <v>18.604651162790699</v>
      </c>
      <c r="I15" s="245">
        <v>13</v>
      </c>
      <c r="J15" s="246">
        <f t="shared" si="16"/>
        <v>4.3189368770764114</v>
      </c>
      <c r="K15" s="245">
        <f t="shared" si="15"/>
        <v>301</v>
      </c>
      <c r="L15" s="248">
        <f t="shared" ref="L15:L22" si="21">+K15/D15*100</f>
        <v>97.096774193548384</v>
      </c>
      <c r="M15" s="240">
        <v>14</v>
      </c>
      <c r="N15" s="251">
        <f t="shared" ref="N15:N23" si="22">M15/E15*100</f>
        <v>6.0344827586206895</v>
      </c>
      <c r="O15" s="250">
        <v>4</v>
      </c>
      <c r="P15" s="251">
        <f t="shared" ref="P15:P16" si="23">O15/G15*100</f>
        <v>7.1428571428571423</v>
      </c>
      <c r="Q15" s="250">
        <v>1</v>
      </c>
      <c r="R15" s="249">
        <f>Q15/I15*100</f>
        <v>7.6923076923076925</v>
      </c>
      <c r="S15" s="250">
        <f t="shared" ref="S15:S51" si="24">SUM(M15,O15,Q15)</f>
        <v>19</v>
      </c>
      <c r="T15" s="292">
        <f t="shared" si="19"/>
        <v>6.3122923588039868</v>
      </c>
    </row>
    <row r="16" spans="1:24" ht="20.65" customHeight="1" thickBot="1">
      <c r="A16" s="198" t="s">
        <v>37</v>
      </c>
      <c r="B16" s="253">
        <f>1433+28+1+19+45</f>
        <v>1526</v>
      </c>
      <c r="C16" s="254">
        <v>90</v>
      </c>
      <c r="D16" s="442">
        <f>126+33</f>
        <v>159</v>
      </c>
      <c r="E16" s="256">
        <v>122</v>
      </c>
      <c r="F16" s="259">
        <f t="shared" si="20"/>
        <v>77.70700636942675</v>
      </c>
      <c r="G16" s="258">
        <v>33</v>
      </c>
      <c r="H16" s="286">
        <f t="shared" si="18"/>
        <v>21.019108280254777</v>
      </c>
      <c r="I16" s="258">
        <v>2</v>
      </c>
      <c r="J16" s="259">
        <f t="shared" si="16"/>
        <v>1.2738853503184715</v>
      </c>
      <c r="K16" s="258">
        <f t="shared" si="15"/>
        <v>157</v>
      </c>
      <c r="L16" s="261">
        <f t="shared" si="21"/>
        <v>98.742138364779876</v>
      </c>
      <c r="M16" s="253">
        <v>10</v>
      </c>
      <c r="N16" s="264">
        <f t="shared" si="22"/>
        <v>8.1967213114754092</v>
      </c>
      <c r="O16" s="263">
        <v>4</v>
      </c>
      <c r="P16" s="264">
        <f t="shared" si="23"/>
        <v>12.121212121212121</v>
      </c>
      <c r="Q16" s="263"/>
      <c r="R16" s="262"/>
      <c r="S16" s="263">
        <f t="shared" si="24"/>
        <v>14</v>
      </c>
      <c r="T16" s="292">
        <f t="shared" si="19"/>
        <v>8.9171974522292992</v>
      </c>
    </row>
    <row r="17" spans="1:25" ht="21.95" customHeight="1">
      <c r="A17" s="266" t="s">
        <v>38</v>
      </c>
      <c r="B17" s="385">
        <f>SUM(B18:B20)</f>
        <v>1173</v>
      </c>
      <c r="C17" s="166">
        <f>SUM(C18:C20)</f>
        <v>270</v>
      </c>
      <c r="D17" s="386">
        <f>SUM(D18:D20)</f>
        <v>400</v>
      </c>
      <c r="E17" s="165">
        <f>SUM(E18:E20)</f>
        <v>290</v>
      </c>
      <c r="F17" s="233">
        <f>E17/K17*100</f>
        <v>74.935400516795866</v>
      </c>
      <c r="G17" s="443">
        <f>SUM(G18:G20)</f>
        <v>44</v>
      </c>
      <c r="H17" s="237">
        <f t="shared" si="18"/>
        <v>11.369509043927648</v>
      </c>
      <c r="I17" s="167">
        <f>SUM(I18:I20)</f>
        <v>53</v>
      </c>
      <c r="J17" s="237">
        <f t="shared" si="16"/>
        <v>13.695090439276486</v>
      </c>
      <c r="K17" s="169">
        <f>SUM(I17,E17,G17)</f>
        <v>387</v>
      </c>
      <c r="L17" s="233">
        <f t="shared" si="21"/>
        <v>96.75</v>
      </c>
      <c r="M17" s="165">
        <f>SUM(M18:M20)</f>
        <v>45</v>
      </c>
      <c r="N17" s="233">
        <f t="shared" si="22"/>
        <v>15.517241379310345</v>
      </c>
      <c r="O17" s="169">
        <f>SUM(O18:O20)</f>
        <v>8</v>
      </c>
      <c r="P17" s="237">
        <f>+O17/G17*100</f>
        <v>18.181818181818183</v>
      </c>
      <c r="Q17" s="167">
        <f>SUM(Q18:Q20)</f>
        <v>9</v>
      </c>
      <c r="R17" s="233">
        <f t="shared" ref="R17:R24" si="25">Q17/I17*100</f>
        <v>16.981132075471699</v>
      </c>
      <c r="S17" s="169">
        <f t="shared" si="24"/>
        <v>62</v>
      </c>
      <c r="T17" s="236">
        <f t="shared" si="19"/>
        <v>16.020671834625322</v>
      </c>
    </row>
    <row r="18" spans="1:25" ht="20.65" customHeight="1">
      <c r="A18" s="275" t="s">
        <v>39</v>
      </c>
      <c r="B18" s="240">
        <f>250+4+3+37+12+5+15</f>
        <v>326</v>
      </c>
      <c r="C18" s="241">
        <v>90</v>
      </c>
      <c r="D18" s="421">
        <f>105+19+1+9</f>
        <v>134</v>
      </c>
      <c r="E18" s="243">
        <v>98</v>
      </c>
      <c r="F18" s="246">
        <f t="shared" si="20"/>
        <v>75.968992248062023</v>
      </c>
      <c r="G18" s="245">
        <v>9</v>
      </c>
      <c r="H18" s="246">
        <f t="shared" si="18"/>
        <v>6.9767441860465116</v>
      </c>
      <c r="I18" s="245">
        <v>22</v>
      </c>
      <c r="J18" s="246">
        <f t="shared" si="16"/>
        <v>17.054263565891471</v>
      </c>
      <c r="K18" s="245">
        <f t="shared" si="15"/>
        <v>129</v>
      </c>
      <c r="L18" s="276">
        <f t="shared" si="21"/>
        <v>96.268656716417908</v>
      </c>
      <c r="M18" s="240">
        <v>10</v>
      </c>
      <c r="N18" s="251">
        <f t="shared" si="22"/>
        <v>10.204081632653061</v>
      </c>
      <c r="O18" s="250">
        <v>0</v>
      </c>
      <c r="P18" s="184">
        <f t="shared" ref="P18:P20" si="26">O18/G18*100</f>
        <v>0</v>
      </c>
      <c r="Q18" s="250">
        <v>3</v>
      </c>
      <c r="R18" s="249">
        <f t="shared" si="25"/>
        <v>13.636363636363635</v>
      </c>
      <c r="S18" s="250">
        <f t="shared" si="24"/>
        <v>13</v>
      </c>
      <c r="T18" s="252">
        <f t="shared" si="19"/>
        <v>10.077519379844961</v>
      </c>
    </row>
    <row r="19" spans="1:25" ht="20.65" customHeight="1">
      <c r="A19" s="213" t="s">
        <v>40</v>
      </c>
      <c r="B19" s="187">
        <f>205+7+3+19+5+12+40</f>
        <v>291</v>
      </c>
      <c r="C19" s="188">
        <v>90</v>
      </c>
      <c r="D19" s="444">
        <f>87+15+5+6+25</f>
        <v>138</v>
      </c>
      <c r="E19" s="190">
        <v>84</v>
      </c>
      <c r="F19" s="193">
        <f t="shared" si="20"/>
        <v>63.157894736842103</v>
      </c>
      <c r="G19" s="192">
        <v>24</v>
      </c>
      <c r="H19" s="286">
        <f t="shared" si="18"/>
        <v>18.045112781954884</v>
      </c>
      <c r="I19" s="192">
        <v>25</v>
      </c>
      <c r="J19" s="193">
        <f t="shared" si="16"/>
        <v>18.796992481203006</v>
      </c>
      <c r="K19" s="192">
        <f t="shared" si="15"/>
        <v>133</v>
      </c>
      <c r="L19" s="278">
        <f t="shared" si="21"/>
        <v>96.376811594202891</v>
      </c>
      <c r="M19" s="187">
        <v>14</v>
      </c>
      <c r="N19" s="279">
        <f t="shared" si="22"/>
        <v>16.666666666666664</v>
      </c>
      <c r="O19" s="196">
        <v>5</v>
      </c>
      <c r="P19" s="279">
        <f t="shared" si="26"/>
        <v>20.833333333333336</v>
      </c>
      <c r="Q19" s="196">
        <v>5</v>
      </c>
      <c r="R19" s="194">
        <f t="shared" si="25"/>
        <v>20</v>
      </c>
      <c r="S19" s="196">
        <f t="shared" si="24"/>
        <v>24</v>
      </c>
      <c r="T19" s="292">
        <f t="shared" si="19"/>
        <v>18.045112781954884</v>
      </c>
    </row>
    <row r="20" spans="1:25" ht="20.65" customHeight="1" thickBot="1">
      <c r="A20" s="225" t="s">
        <v>41</v>
      </c>
      <c r="B20" s="280">
        <f>505+13+3+1+14+3+2+15</f>
        <v>556</v>
      </c>
      <c r="C20" s="281">
        <v>90</v>
      </c>
      <c r="D20" s="445">
        <f>112+3+2+11</f>
        <v>128</v>
      </c>
      <c r="E20" s="283">
        <v>108</v>
      </c>
      <c r="F20" s="286">
        <f t="shared" si="20"/>
        <v>86.4</v>
      </c>
      <c r="G20" s="285">
        <v>11</v>
      </c>
      <c r="H20" s="286">
        <f t="shared" si="18"/>
        <v>8.7999999999999989</v>
      </c>
      <c r="I20" s="285">
        <v>6</v>
      </c>
      <c r="J20" s="286">
        <f t="shared" si="16"/>
        <v>4.8</v>
      </c>
      <c r="K20" s="285">
        <f t="shared" si="15"/>
        <v>125</v>
      </c>
      <c r="L20" s="288">
        <f t="shared" si="21"/>
        <v>97.65625</v>
      </c>
      <c r="M20" s="280">
        <v>21</v>
      </c>
      <c r="N20" s="291">
        <f t="shared" si="22"/>
        <v>19.444444444444446</v>
      </c>
      <c r="O20" s="290">
        <v>3</v>
      </c>
      <c r="P20" s="291">
        <f t="shared" si="26"/>
        <v>27.27272727272727</v>
      </c>
      <c r="Q20" s="290">
        <v>1</v>
      </c>
      <c r="R20" s="289">
        <f t="shared" si="25"/>
        <v>16.666666666666664</v>
      </c>
      <c r="S20" s="290">
        <f t="shared" si="24"/>
        <v>25</v>
      </c>
      <c r="T20" s="292">
        <f t="shared" si="19"/>
        <v>20</v>
      </c>
    </row>
    <row r="21" spans="1:25" ht="21.95" customHeight="1">
      <c r="A21" s="266" t="s">
        <v>42</v>
      </c>
      <c r="B21" s="294">
        <f>+B22</f>
        <v>8651</v>
      </c>
      <c r="C21" s="295">
        <f>+C22</f>
        <v>1920</v>
      </c>
      <c r="D21" s="405">
        <f>+D22</f>
        <v>2485</v>
      </c>
      <c r="E21" s="167">
        <f>SUM(E22:E43)</f>
        <v>1793</v>
      </c>
      <c r="F21" s="270">
        <f>E21/K21*100</f>
        <v>73.9381443298969</v>
      </c>
      <c r="G21" s="271">
        <f>SUM(G22:G43)</f>
        <v>226</v>
      </c>
      <c r="H21" s="272">
        <f t="shared" si="18"/>
        <v>9.3195876288659782</v>
      </c>
      <c r="I21" s="167">
        <f>SUM(I22:I43)</f>
        <v>406</v>
      </c>
      <c r="J21" s="272">
        <f t="shared" si="16"/>
        <v>16.742268041237114</v>
      </c>
      <c r="K21" s="273">
        <f>SUM(I21,E21,G21)</f>
        <v>2425</v>
      </c>
      <c r="L21" s="236">
        <f t="shared" si="21"/>
        <v>97.585513078470825</v>
      </c>
      <c r="M21" s="167">
        <f>SUM(M22:M43)</f>
        <v>121</v>
      </c>
      <c r="N21" s="270">
        <f t="shared" si="22"/>
        <v>6.7484662576687118</v>
      </c>
      <c r="O21" s="271">
        <f>SUM(O22:O43)</f>
        <v>22</v>
      </c>
      <c r="P21" s="235">
        <f>+O21/G21*100</f>
        <v>9.7345132743362832</v>
      </c>
      <c r="Q21" s="167">
        <f>SUM(Q22:Q43)</f>
        <v>62</v>
      </c>
      <c r="R21" s="270">
        <f t="shared" si="25"/>
        <v>15.270935960591133</v>
      </c>
      <c r="S21" s="169">
        <f t="shared" si="24"/>
        <v>205</v>
      </c>
      <c r="T21" s="274">
        <f t="shared" si="19"/>
        <v>8.4536082474226806</v>
      </c>
      <c r="V21" s="45" t="s">
        <v>88</v>
      </c>
      <c r="W21" s="46">
        <v>2262</v>
      </c>
      <c r="X21" s="47">
        <f t="shared" ref="X21" si="27">+K21-W21</f>
        <v>163</v>
      </c>
      <c r="Y21" s="47"/>
    </row>
    <row r="22" spans="1:25" ht="20.65" customHeight="1">
      <c r="A22" s="160" t="s">
        <v>43</v>
      </c>
      <c r="B22" s="446">
        <f>7387+363+59+4+153+230+1+154+300</f>
        <v>8651</v>
      </c>
      <c r="C22" s="447">
        <v>1920</v>
      </c>
      <c r="D22" s="448">
        <f>1967+3+130+145+240</f>
        <v>2485</v>
      </c>
      <c r="E22" s="180">
        <v>1384</v>
      </c>
      <c r="F22" s="179">
        <f t="shared" si="20"/>
        <v>81.220657276995297</v>
      </c>
      <c r="G22" s="178">
        <v>226</v>
      </c>
      <c r="H22" s="179">
        <f>G22/K22*100</f>
        <v>13.262910798122066</v>
      </c>
      <c r="I22" s="178">
        <v>94</v>
      </c>
      <c r="J22" s="179">
        <f t="shared" si="16"/>
        <v>5.516431924882629</v>
      </c>
      <c r="K22" s="178">
        <f t="shared" si="15"/>
        <v>1704</v>
      </c>
      <c r="L22" s="248">
        <f t="shared" si="21"/>
        <v>68.571428571428569</v>
      </c>
      <c r="M22" s="173">
        <v>99</v>
      </c>
      <c r="N22" s="184">
        <f t="shared" si="22"/>
        <v>7.1531791907514446</v>
      </c>
      <c r="O22" s="183">
        <v>22</v>
      </c>
      <c r="P22" s="184">
        <f>O22/G22*100</f>
        <v>9.7345132743362832</v>
      </c>
      <c r="Q22" s="183">
        <v>12</v>
      </c>
      <c r="R22" s="182">
        <f t="shared" si="25"/>
        <v>12.76595744680851</v>
      </c>
      <c r="S22" s="183">
        <f t="shared" si="24"/>
        <v>133</v>
      </c>
      <c r="T22" s="185">
        <f t="shared" si="19"/>
        <v>7.8051643192488269</v>
      </c>
      <c r="V22" s="45"/>
      <c r="W22" s="48"/>
      <c r="X22" s="47"/>
      <c r="Y22" s="47"/>
    </row>
    <row r="23" spans="1:25" ht="20.65" customHeight="1">
      <c r="A23" s="160" t="s">
        <v>44</v>
      </c>
      <c r="B23" s="297"/>
      <c r="C23" s="298"/>
      <c r="D23" s="303"/>
      <c r="E23" s="190">
        <v>29</v>
      </c>
      <c r="F23" s="193">
        <f t="shared" si="20"/>
        <v>76.31578947368422</v>
      </c>
      <c r="G23" s="192"/>
      <c r="H23" s="193"/>
      <c r="I23" s="192">
        <v>9</v>
      </c>
      <c r="J23" s="193">
        <f t="shared" si="16"/>
        <v>23.684210526315788</v>
      </c>
      <c r="K23" s="192">
        <f t="shared" si="15"/>
        <v>38</v>
      </c>
      <c r="L23" s="449"/>
      <c r="M23" s="187">
        <v>6</v>
      </c>
      <c r="N23" s="279">
        <f t="shared" si="22"/>
        <v>20.689655172413794</v>
      </c>
      <c r="O23" s="196"/>
      <c r="P23" s="279"/>
      <c r="Q23" s="196">
        <v>1</v>
      </c>
      <c r="R23" s="194">
        <f t="shared" si="25"/>
        <v>11.111111111111111</v>
      </c>
      <c r="S23" s="196">
        <f t="shared" si="24"/>
        <v>7</v>
      </c>
      <c r="T23" s="197">
        <f t="shared" si="19"/>
        <v>18.421052631578945</v>
      </c>
    </row>
    <row r="24" spans="1:25" ht="20.65" customHeight="1">
      <c r="A24" s="160" t="s">
        <v>45</v>
      </c>
      <c r="B24" s="297"/>
      <c r="C24" s="298"/>
      <c r="D24" s="303"/>
      <c r="E24" s="190">
        <v>16</v>
      </c>
      <c r="F24" s="193">
        <f t="shared" si="20"/>
        <v>66.666666666666657</v>
      </c>
      <c r="G24" s="192"/>
      <c r="H24" s="193"/>
      <c r="I24" s="192">
        <v>8</v>
      </c>
      <c r="J24" s="193">
        <f t="shared" si="16"/>
        <v>33.333333333333329</v>
      </c>
      <c r="K24" s="192">
        <f t="shared" si="15"/>
        <v>24</v>
      </c>
      <c r="L24" s="450"/>
      <c r="M24" s="187"/>
      <c r="N24" s="279"/>
      <c r="O24" s="196"/>
      <c r="P24" s="279"/>
      <c r="Q24" s="196">
        <v>1</v>
      </c>
      <c r="R24" s="194">
        <f t="shared" si="25"/>
        <v>12.5</v>
      </c>
      <c r="S24" s="196">
        <f t="shared" si="24"/>
        <v>1</v>
      </c>
      <c r="T24" s="292">
        <f t="shared" si="19"/>
        <v>4.1666666666666661</v>
      </c>
    </row>
    <row r="25" spans="1:25" ht="20.65" customHeight="1">
      <c r="A25" s="160" t="s">
        <v>46</v>
      </c>
      <c r="B25" s="297"/>
      <c r="C25" s="298"/>
      <c r="D25" s="303"/>
      <c r="E25" s="190">
        <v>13</v>
      </c>
      <c r="F25" s="193">
        <f t="shared" si="20"/>
        <v>46.428571428571431</v>
      </c>
      <c r="G25" s="192"/>
      <c r="H25" s="193"/>
      <c r="I25" s="192">
        <v>15</v>
      </c>
      <c r="J25" s="193">
        <f t="shared" si="16"/>
        <v>53.571428571428569</v>
      </c>
      <c r="K25" s="192">
        <f t="shared" si="15"/>
        <v>28</v>
      </c>
      <c r="L25" s="450"/>
      <c r="M25" s="187"/>
      <c r="N25" s="279"/>
      <c r="O25" s="196"/>
      <c r="P25" s="279"/>
      <c r="Q25" s="196"/>
      <c r="R25" s="194"/>
      <c r="S25" s="196">
        <f t="shared" si="24"/>
        <v>0</v>
      </c>
      <c r="T25" s="197">
        <f t="shared" si="19"/>
        <v>0</v>
      </c>
    </row>
    <row r="26" spans="1:25" ht="20.65" customHeight="1">
      <c r="A26" s="160" t="s">
        <v>47</v>
      </c>
      <c r="B26" s="297"/>
      <c r="C26" s="298"/>
      <c r="D26" s="303"/>
      <c r="E26" s="190">
        <v>25</v>
      </c>
      <c r="F26" s="193">
        <f t="shared" si="20"/>
        <v>71.428571428571431</v>
      </c>
      <c r="G26" s="192"/>
      <c r="H26" s="193"/>
      <c r="I26" s="192">
        <v>10</v>
      </c>
      <c r="J26" s="193">
        <f t="shared" si="16"/>
        <v>28.571428571428569</v>
      </c>
      <c r="K26" s="192">
        <f t="shared" si="15"/>
        <v>35</v>
      </c>
      <c r="L26" s="450"/>
      <c r="M26" s="187">
        <v>1</v>
      </c>
      <c r="N26" s="279">
        <f t="shared" ref="N26:N28" si="28">M26/E26*100</f>
        <v>4</v>
      </c>
      <c r="O26" s="196"/>
      <c r="P26" s="279"/>
      <c r="Q26" s="196"/>
      <c r="R26" s="194"/>
      <c r="S26" s="196">
        <f t="shared" si="24"/>
        <v>1</v>
      </c>
      <c r="T26" s="292">
        <f t="shared" si="19"/>
        <v>2.8571428571428572</v>
      </c>
    </row>
    <row r="27" spans="1:25" ht="20.65" customHeight="1">
      <c r="A27" s="161" t="s">
        <v>48</v>
      </c>
      <c r="B27" s="297"/>
      <c r="C27" s="298"/>
      <c r="D27" s="303"/>
      <c r="E27" s="256">
        <v>20</v>
      </c>
      <c r="F27" s="259">
        <f t="shared" si="20"/>
        <v>57.142857142857139</v>
      </c>
      <c r="G27" s="258"/>
      <c r="H27" s="259"/>
      <c r="I27" s="258">
        <v>15</v>
      </c>
      <c r="J27" s="259">
        <f t="shared" si="16"/>
        <v>42.857142857142854</v>
      </c>
      <c r="K27" s="258">
        <f t="shared" si="15"/>
        <v>35</v>
      </c>
      <c r="L27" s="451"/>
      <c r="M27" s="253">
        <v>3</v>
      </c>
      <c r="N27" s="264">
        <f t="shared" si="28"/>
        <v>15</v>
      </c>
      <c r="O27" s="263"/>
      <c r="P27" s="264"/>
      <c r="Q27" s="263"/>
      <c r="R27" s="262"/>
      <c r="S27" s="263">
        <f t="shared" si="24"/>
        <v>3</v>
      </c>
      <c r="T27" s="292">
        <f t="shared" si="19"/>
        <v>8.5714285714285712</v>
      </c>
    </row>
    <row r="28" spans="1:25" ht="20.65" customHeight="1">
      <c r="A28" s="161" t="s">
        <v>49</v>
      </c>
      <c r="B28" s="297"/>
      <c r="C28" s="298"/>
      <c r="D28" s="303"/>
      <c r="E28" s="256">
        <v>15</v>
      </c>
      <c r="F28" s="259">
        <f t="shared" si="20"/>
        <v>57.692307692307686</v>
      </c>
      <c r="G28" s="258"/>
      <c r="H28" s="259"/>
      <c r="I28" s="258">
        <v>11</v>
      </c>
      <c r="J28" s="259">
        <f t="shared" si="16"/>
        <v>42.307692307692307</v>
      </c>
      <c r="K28" s="258">
        <f t="shared" si="15"/>
        <v>26</v>
      </c>
      <c r="L28" s="451"/>
      <c r="M28" s="253">
        <v>1</v>
      </c>
      <c r="N28" s="264">
        <f t="shared" si="28"/>
        <v>6.666666666666667</v>
      </c>
      <c r="O28" s="263"/>
      <c r="P28" s="264"/>
      <c r="Q28" s="263">
        <v>1</v>
      </c>
      <c r="R28" s="262">
        <f>Q28/I28*100</f>
        <v>9.0909090909090917</v>
      </c>
      <c r="S28" s="263">
        <f t="shared" si="24"/>
        <v>2</v>
      </c>
      <c r="T28" s="265">
        <f t="shared" si="19"/>
        <v>7.6923076923076925</v>
      </c>
    </row>
    <row r="29" spans="1:25" ht="20.65" customHeight="1">
      <c r="A29" s="160" t="s">
        <v>50</v>
      </c>
      <c r="B29" s="297"/>
      <c r="C29" s="298"/>
      <c r="D29" s="303"/>
      <c r="E29" s="190">
        <v>12</v>
      </c>
      <c r="F29" s="193">
        <f t="shared" si="20"/>
        <v>63.157894736842103</v>
      </c>
      <c r="G29" s="192"/>
      <c r="H29" s="193"/>
      <c r="I29" s="192">
        <v>7</v>
      </c>
      <c r="J29" s="193">
        <f t="shared" si="16"/>
        <v>36.84210526315789</v>
      </c>
      <c r="K29" s="192">
        <f t="shared" si="15"/>
        <v>19</v>
      </c>
      <c r="L29" s="450"/>
      <c r="M29" s="187"/>
      <c r="N29" s="279"/>
      <c r="O29" s="196"/>
      <c r="P29" s="279"/>
      <c r="Q29" s="196"/>
      <c r="R29" s="194"/>
      <c r="S29" s="196">
        <f t="shared" si="24"/>
        <v>0</v>
      </c>
      <c r="T29" s="197">
        <f t="shared" si="19"/>
        <v>0</v>
      </c>
    </row>
    <row r="30" spans="1:25" ht="20.65" customHeight="1">
      <c r="A30" s="163" t="s">
        <v>51</v>
      </c>
      <c r="B30" s="297"/>
      <c r="C30" s="298"/>
      <c r="D30" s="303"/>
      <c r="E30" s="318">
        <v>29</v>
      </c>
      <c r="F30" s="321">
        <f t="shared" si="20"/>
        <v>74.358974358974365</v>
      </c>
      <c r="G30" s="320"/>
      <c r="H30" s="321"/>
      <c r="I30" s="320">
        <v>10</v>
      </c>
      <c r="J30" s="321">
        <f t="shared" si="16"/>
        <v>25.641025641025639</v>
      </c>
      <c r="K30" s="320">
        <f t="shared" si="15"/>
        <v>39</v>
      </c>
      <c r="L30" s="449"/>
      <c r="M30" s="323"/>
      <c r="N30" s="326"/>
      <c r="O30" s="325"/>
      <c r="P30" s="326"/>
      <c r="Q30" s="325">
        <v>1</v>
      </c>
      <c r="R30" s="324">
        <f t="shared" ref="R30:R31" si="29">Q30/I30*100</f>
        <v>10</v>
      </c>
      <c r="S30" s="325">
        <f t="shared" si="24"/>
        <v>1</v>
      </c>
      <c r="T30" s="328">
        <f t="shared" si="19"/>
        <v>2.5641025641025639</v>
      </c>
    </row>
    <row r="31" spans="1:25" ht="20.65" customHeight="1" thickBot="1">
      <c r="A31" s="452" t="s">
        <v>52</v>
      </c>
      <c r="B31" s="304"/>
      <c r="C31" s="305"/>
      <c r="D31" s="453"/>
      <c r="E31" s="454">
        <v>23</v>
      </c>
      <c r="F31" s="371">
        <f t="shared" si="20"/>
        <v>71.875</v>
      </c>
      <c r="G31" s="455"/>
      <c r="H31" s="371"/>
      <c r="I31" s="455">
        <v>9</v>
      </c>
      <c r="J31" s="371">
        <f t="shared" si="16"/>
        <v>28.125</v>
      </c>
      <c r="K31" s="455">
        <f t="shared" si="15"/>
        <v>32</v>
      </c>
      <c r="L31" s="419"/>
      <c r="M31" s="456"/>
      <c r="N31" s="457"/>
      <c r="O31" s="458"/>
      <c r="P31" s="457"/>
      <c r="Q31" s="458">
        <v>1</v>
      </c>
      <c r="R31" s="459">
        <f t="shared" si="29"/>
        <v>11.111111111111111</v>
      </c>
      <c r="S31" s="458">
        <f t="shared" si="24"/>
        <v>1</v>
      </c>
      <c r="T31" s="460">
        <f t="shared" si="19"/>
        <v>3.125</v>
      </c>
    </row>
    <row r="32" spans="1:25" ht="20.65" customHeight="1">
      <c r="A32" s="163" t="s">
        <v>53</v>
      </c>
      <c r="B32" s="297"/>
      <c r="C32" s="298"/>
      <c r="D32" s="303"/>
      <c r="E32" s="318">
        <v>32</v>
      </c>
      <c r="F32" s="321">
        <f t="shared" si="20"/>
        <v>68.085106382978722</v>
      </c>
      <c r="G32" s="320"/>
      <c r="H32" s="321"/>
      <c r="I32" s="320">
        <v>15</v>
      </c>
      <c r="J32" s="321">
        <f t="shared" si="16"/>
        <v>31.914893617021278</v>
      </c>
      <c r="K32" s="320">
        <f t="shared" si="15"/>
        <v>47</v>
      </c>
      <c r="L32" s="449"/>
      <c r="M32" s="323">
        <v>2</v>
      </c>
      <c r="N32" s="326">
        <f t="shared" ref="N32:N34" si="30">M32/E32*100</f>
        <v>6.25</v>
      </c>
      <c r="O32" s="325"/>
      <c r="P32" s="326"/>
      <c r="Q32" s="325"/>
      <c r="R32" s="324"/>
      <c r="S32" s="325">
        <f t="shared" si="24"/>
        <v>2</v>
      </c>
      <c r="T32" s="328">
        <f t="shared" si="19"/>
        <v>4.2553191489361701</v>
      </c>
    </row>
    <row r="33" spans="1:20" ht="20.65" customHeight="1">
      <c r="A33" s="160" t="s">
        <v>54</v>
      </c>
      <c r="B33" s="297"/>
      <c r="C33" s="298"/>
      <c r="D33" s="303"/>
      <c r="E33" s="190">
        <v>20</v>
      </c>
      <c r="F33" s="193">
        <f t="shared" si="20"/>
        <v>66.666666666666657</v>
      </c>
      <c r="G33" s="192"/>
      <c r="H33" s="193"/>
      <c r="I33" s="192">
        <v>10</v>
      </c>
      <c r="J33" s="193">
        <f t="shared" si="16"/>
        <v>33.333333333333329</v>
      </c>
      <c r="K33" s="192">
        <f t="shared" si="15"/>
        <v>30</v>
      </c>
      <c r="L33" s="450"/>
      <c r="M33" s="187">
        <v>3</v>
      </c>
      <c r="N33" s="279">
        <f t="shared" si="30"/>
        <v>15</v>
      </c>
      <c r="O33" s="196"/>
      <c r="P33" s="279"/>
      <c r="Q33" s="196"/>
      <c r="R33" s="194"/>
      <c r="S33" s="196">
        <f t="shared" si="24"/>
        <v>3</v>
      </c>
      <c r="T33" s="197">
        <f t="shared" si="19"/>
        <v>10</v>
      </c>
    </row>
    <row r="34" spans="1:20" ht="20.65" customHeight="1">
      <c r="A34" s="160" t="s">
        <v>55</v>
      </c>
      <c r="B34" s="297"/>
      <c r="C34" s="298"/>
      <c r="D34" s="303"/>
      <c r="E34" s="190">
        <v>22</v>
      </c>
      <c r="F34" s="193">
        <f t="shared" si="20"/>
        <v>91.666666666666657</v>
      </c>
      <c r="G34" s="192"/>
      <c r="H34" s="193"/>
      <c r="I34" s="192">
        <v>2</v>
      </c>
      <c r="J34" s="193">
        <f t="shared" si="16"/>
        <v>8.3333333333333321</v>
      </c>
      <c r="K34" s="192">
        <f t="shared" si="15"/>
        <v>24</v>
      </c>
      <c r="L34" s="450"/>
      <c r="M34" s="187">
        <v>3</v>
      </c>
      <c r="N34" s="279">
        <f t="shared" si="30"/>
        <v>13.636363636363635</v>
      </c>
      <c r="O34" s="196"/>
      <c r="P34" s="279"/>
      <c r="Q34" s="196"/>
      <c r="R34" s="194"/>
      <c r="S34" s="196">
        <f t="shared" si="24"/>
        <v>3</v>
      </c>
      <c r="T34" s="197">
        <f t="shared" si="19"/>
        <v>12.5</v>
      </c>
    </row>
    <row r="35" spans="1:20" ht="20.65" customHeight="1">
      <c r="A35" s="160" t="s">
        <v>56</v>
      </c>
      <c r="B35" s="297"/>
      <c r="C35" s="298"/>
      <c r="D35" s="303"/>
      <c r="E35" s="190">
        <v>20</v>
      </c>
      <c r="F35" s="193">
        <f t="shared" si="20"/>
        <v>68.965517241379317</v>
      </c>
      <c r="G35" s="192"/>
      <c r="H35" s="193"/>
      <c r="I35" s="192">
        <v>9</v>
      </c>
      <c r="J35" s="193">
        <f t="shared" si="16"/>
        <v>31.03448275862069</v>
      </c>
      <c r="K35" s="192">
        <f t="shared" si="15"/>
        <v>29</v>
      </c>
      <c r="L35" s="450"/>
      <c r="M35" s="187"/>
      <c r="N35" s="279"/>
      <c r="O35" s="196"/>
      <c r="P35" s="279"/>
      <c r="Q35" s="196">
        <v>1</v>
      </c>
      <c r="R35" s="194">
        <f>Q35/I35*100</f>
        <v>11.111111111111111</v>
      </c>
      <c r="S35" s="196">
        <f t="shared" si="24"/>
        <v>1</v>
      </c>
      <c r="T35" s="292">
        <f t="shared" si="19"/>
        <v>3.4482758620689653</v>
      </c>
    </row>
    <row r="36" spans="1:20" ht="20.65" customHeight="1">
      <c r="A36" s="160" t="s">
        <v>57</v>
      </c>
      <c r="B36" s="297"/>
      <c r="C36" s="298"/>
      <c r="D36" s="303"/>
      <c r="E36" s="190">
        <v>22</v>
      </c>
      <c r="F36" s="193">
        <f t="shared" si="20"/>
        <v>70.967741935483872</v>
      </c>
      <c r="G36" s="192"/>
      <c r="H36" s="193"/>
      <c r="I36" s="192">
        <v>9</v>
      </c>
      <c r="J36" s="193">
        <f t="shared" si="16"/>
        <v>29.032258064516132</v>
      </c>
      <c r="K36" s="192">
        <f t="shared" si="15"/>
        <v>31</v>
      </c>
      <c r="L36" s="450"/>
      <c r="M36" s="187"/>
      <c r="N36" s="279"/>
      <c r="O36" s="196"/>
      <c r="P36" s="279"/>
      <c r="Q36" s="196"/>
      <c r="R36" s="194"/>
      <c r="S36" s="196">
        <f t="shared" si="24"/>
        <v>0</v>
      </c>
      <c r="T36" s="461"/>
    </row>
    <row r="37" spans="1:20" ht="20.65" customHeight="1">
      <c r="A37" s="160" t="s">
        <v>58</v>
      </c>
      <c r="B37" s="297"/>
      <c r="C37" s="298"/>
      <c r="D37" s="303"/>
      <c r="E37" s="190">
        <v>21</v>
      </c>
      <c r="F37" s="193">
        <f t="shared" si="20"/>
        <v>53.846153846153847</v>
      </c>
      <c r="G37" s="192"/>
      <c r="H37" s="193"/>
      <c r="I37" s="192">
        <v>18</v>
      </c>
      <c r="J37" s="193">
        <f t="shared" si="16"/>
        <v>46.153846153846153</v>
      </c>
      <c r="K37" s="192">
        <f t="shared" si="15"/>
        <v>39</v>
      </c>
      <c r="L37" s="450"/>
      <c r="M37" s="187"/>
      <c r="N37" s="279"/>
      <c r="O37" s="196"/>
      <c r="P37" s="279"/>
      <c r="Q37" s="196"/>
      <c r="R37" s="194"/>
      <c r="S37" s="196">
        <f t="shared" si="24"/>
        <v>0</v>
      </c>
      <c r="T37" s="461"/>
    </row>
    <row r="38" spans="1:20" ht="20.65" customHeight="1">
      <c r="A38" s="160" t="s">
        <v>59</v>
      </c>
      <c r="B38" s="297"/>
      <c r="C38" s="298"/>
      <c r="D38" s="303"/>
      <c r="E38" s="190">
        <v>21</v>
      </c>
      <c r="F38" s="193">
        <f t="shared" si="20"/>
        <v>77.777777777777786</v>
      </c>
      <c r="G38" s="192"/>
      <c r="H38" s="193"/>
      <c r="I38" s="192">
        <v>6</v>
      </c>
      <c r="J38" s="193">
        <f t="shared" si="16"/>
        <v>22.222222222222221</v>
      </c>
      <c r="K38" s="192">
        <f t="shared" si="15"/>
        <v>27</v>
      </c>
      <c r="L38" s="450"/>
      <c r="M38" s="187">
        <v>1</v>
      </c>
      <c r="N38" s="279">
        <f t="shared" ref="N38:N39" si="31">M38/E38*100</f>
        <v>4.7619047619047619</v>
      </c>
      <c r="O38" s="196"/>
      <c r="P38" s="279"/>
      <c r="Q38" s="196"/>
      <c r="R38" s="194"/>
      <c r="S38" s="196">
        <f t="shared" si="24"/>
        <v>1</v>
      </c>
      <c r="T38" s="197">
        <f t="shared" ref="T38:T40" si="32">S38/K38*100</f>
        <v>3.7037037037037033</v>
      </c>
    </row>
    <row r="39" spans="1:20" ht="20.65" customHeight="1">
      <c r="A39" s="160" t="s">
        <v>60</v>
      </c>
      <c r="B39" s="297"/>
      <c r="C39" s="298"/>
      <c r="D39" s="303"/>
      <c r="E39" s="190">
        <v>29</v>
      </c>
      <c r="F39" s="193">
        <f t="shared" si="20"/>
        <v>87.878787878787875</v>
      </c>
      <c r="G39" s="192"/>
      <c r="H39" s="193"/>
      <c r="I39" s="192">
        <v>4</v>
      </c>
      <c r="J39" s="193">
        <f t="shared" si="16"/>
        <v>12.121212121212121</v>
      </c>
      <c r="K39" s="192">
        <f t="shared" si="15"/>
        <v>33</v>
      </c>
      <c r="L39" s="450"/>
      <c r="M39" s="187">
        <v>1</v>
      </c>
      <c r="N39" s="279">
        <f t="shared" si="31"/>
        <v>3.4482758620689653</v>
      </c>
      <c r="O39" s="196"/>
      <c r="P39" s="279"/>
      <c r="Q39" s="196">
        <v>1</v>
      </c>
      <c r="R39" s="194">
        <f t="shared" ref="R39:R40" si="33">Q39/I39*100</f>
        <v>25</v>
      </c>
      <c r="S39" s="196">
        <f t="shared" si="24"/>
        <v>2</v>
      </c>
      <c r="T39" s="197">
        <f t="shared" si="32"/>
        <v>6.0606060606060606</v>
      </c>
    </row>
    <row r="40" spans="1:20" ht="20.65" customHeight="1">
      <c r="A40" s="160" t="s">
        <v>61</v>
      </c>
      <c r="B40" s="297"/>
      <c r="C40" s="298"/>
      <c r="D40" s="303"/>
      <c r="E40" s="190">
        <v>0</v>
      </c>
      <c r="F40" s="193">
        <f t="shared" si="20"/>
        <v>0</v>
      </c>
      <c r="G40" s="192"/>
      <c r="H40" s="193"/>
      <c r="I40" s="192">
        <v>118</v>
      </c>
      <c r="J40" s="193">
        <f t="shared" si="16"/>
        <v>100</v>
      </c>
      <c r="K40" s="192">
        <f t="shared" si="15"/>
        <v>118</v>
      </c>
      <c r="L40" s="450"/>
      <c r="M40" s="187"/>
      <c r="N40" s="279"/>
      <c r="O40" s="196"/>
      <c r="P40" s="279"/>
      <c r="Q40" s="196">
        <v>43</v>
      </c>
      <c r="R40" s="194">
        <f t="shared" si="33"/>
        <v>36.440677966101696</v>
      </c>
      <c r="S40" s="196">
        <f t="shared" si="24"/>
        <v>43</v>
      </c>
      <c r="T40" s="292">
        <f t="shared" si="32"/>
        <v>36.440677966101696</v>
      </c>
    </row>
    <row r="41" spans="1:20" ht="20.65" customHeight="1">
      <c r="A41" s="160" t="s">
        <v>62</v>
      </c>
      <c r="B41" s="297"/>
      <c r="C41" s="298"/>
      <c r="D41" s="303"/>
      <c r="E41" s="190">
        <v>15</v>
      </c>
      <c r="F41" s="193">
        <f t="shared" si="20"/>
        <v>55.555555555555557</v>
      </c>
      <c r="G41" s="192"/>
      <c r="H41" s="193"/>
      <c r="I41" s="192">
        <v>12</v>
      </c>
      <c r="J41" s="193">
        <f t="shared" si="16"/>
        <v>44.444444444444443</v>
      </c>
      <c r="K41" s="192">
        <f t="shared" si="15"/>
        <v>27</v>
      </c>
      <c r="L41" s="450"/>
      <c r="M41" s="187"/>
      <c r="N41" s="279"/>
      <c r="O41" s="196"/>
      <c r="P41" s="279"/>
      <c r="Q41" s="196"/>
      <c r="R41" s="194"/>
      <c r="S41" s="196">
        <f t="shared" si="24"/>
        <v>0</v>
      </c>
      <c r="T41" s="461"/>
    </row>
    <row r="42" spans="1:20" ht="20.65" customHeight="1">
      <c r="A42" s="160" t="s">
        <v>63</v>
      </c>
      <c r="B42" s="297"/>
      <c r="C42" s="298"/>
      <c r="D42" s="303"/>
      <c r="E42" s="190">
        <v>13</v>
      </c>
      <c r="F42" s="193">
        <f t="shared" si="20"/>
        <v>50</v>
      </c>
      <c r="G42" s="192"/>
      <c r="H42" s="193"/>
      <c r="I42" s="192">
        <v>13</v>
      </c>
      <c r="J42" s="193">
        <f t="shared" si="16"/>
        <v>50</v>
      </c>
      <c r="K42" s="192">
        <f t="shared" si="15"/>
        <v>26</v>
      </c>
      <c r="L42" s="450"/>
      <c r="M42" s="187">
        <v>1</v>
      </c>
      <c r="N42" s="279">
        <f>M42/E42*100</f>
        <v>7.6923076923076925</v>
      </c>
      <c r="O42" s="196"/>
      <c r="P42" s="279"/>
      <c r="Q42" s="196"/>
      <c r="R42" s="194"/>
      <c r="S42" s="196">
        <f t="shared" si="24"/>
        <v>1</v>
      </c>
      <c r="T42" s="197">
        <f>S42/K42*100</f>
        <v>3.8461538461538463</v>
      </c>
    </row>
    <row r="43" spans="1:20" ht="20.65" customHeight="1" thickBot="1">
      <c r="A43" s="162" t="s">
        <v>64</v>
      </c>
      <c r="B43" s="304"/>
      <c r="C43" s="305"/>
      <c r="D43" s="453"/>
      <c r="E43" s="454">
        <v>12</v>
      </c>
      <c r="F43" s="371">
        <f t="shared" si="20"/>
        <v>85.714285714285708</v>
      </c>
      <c r="G43" s="455"/>
      <c r="H43" s="371"/>
      <c r="I43" s="455">
        <v>2</v>
      </c>
      <c r="J43" s="371">
        <f t="shared" si="16"/>
        <v>14.285714285714285</v>
      </c>
      <c r="K43" s="455">
        <f t="shared" si="15"/>
        <v>14</v>
      </c>
      <c r="L43" s="419"/>
      <c r="M43" s="456"/>
      <c r="N43" s="457"/>
      <c r="O43" s="458"/>
      <c r="P43" s="457"/>
      <c r="Q43" s="458"/>
      <c r="R43" s="459"/>
      <c r="S43" s="458">
        <f t="shared" si="24"/>
        <v>0</v>
      </c>
      <c r="T43" s="462"/>
    </row>
    <row r="44" spans="1:20" ht="21.95" customHeight="1">
      <c r="A44" s="463" t="s">
        <v>66</v>
      </c>
      <c r="B44" s="297">
        <f>SUM(B45:B46)</f>
        <v>5598</v>
      </c>
      <c r="C44" s="298">
        <f>SUM(C45:C46)</f>
        <v>260</v>
      </c>
      <c r="D44" s="303">
        <f>SUM(D45:D46)</f>
        <v>335</v>
      </c>
      <c r="E44" s="297">
        <f>SUM(E45:E46)</f>
        <v>225</v>
      </c>
      <c r="F44" s="332">
        <f>E44/K44*100</f>
        <v>69.018404907975466</v>
      </c>
      <c r="G44" s="464">
        <f>SUM(G45:G46)</f>
        <v>14</v>
      </c>
      <c r="H44" s="465">
        <f>G44/K44*100</f>
        <v>4.294478527607362</v>
      </c>
      <c r="I44" s="299">
        <f>SUM(I45:I46)</f>
        <v>87</v>
      </c>
      <c r="J44" s="465">
        <f t="shared" si="16"/>
        <v>26.687116564417181</v>
      </c>
      <c r="K44" s="299">
        <f>SUM(K45:K46)</f>
        <v>326</v>
      </c>
      <c r="L44" s="332">
        <f t="shared" ref="L44:L47" si="34">+K44/D44*100</f>
        <v>97.31343283582089</v>
      </c>
      <c r="M44" s="297">
        <f>SUM(M45:M46)</f>
        <v>22</v>
      </c>
      <c r="N44" s="332">
        <f>M44/E44*100</f>
        <v>9.7777777777777786</v>
      </c>
      <c r="O44" s="464">
        <f>SUM(O45:O46)</f>
        <v>6</v>
      </c>
      <c r="P44" s="465">
        <f>O44/G44*100</f>
        <v>42.857142857142854</v>
      </c>
      <c r="Q44" s="282">
        <v>0</v>
      </c>
      <c r="R44" s="289">
        <v>0</v>
      </c>
      <c r="S44" s="169">
        <f>SUM(S45:S46)</f>
        <v>28</v>
      </c>
      <c r="T44" s="171">
        <f>S44/K44*100</f>
        <v>8.5889570552147241</v>
      </c>
    </row>
    <row r="45" spans="1:20" ht="20.65" customHeight="1">
      <c r="A45" s="466" t="s">
        <v>67</v>
      </c>
      <c r="B45" s="173">
        <f>1034</f>
        <v>1034</v>
      </c>
      <c r="C45" s="174">
        <v>80</v>
      </c>
      <c r="D45" s="467">
        <f>77+3</f>
        <v>80</v>
      </c>
      <c r="E45" s="176">
        <v>0</v>
      </c>
      <c r="F45" s="179">
        <f t="shared" si="20"/>
        <v>0</v>
      </c>
      <c r="G45" s="178">
        <v>0</v>
      </c>
      <c r="H45" s="184">
        <f>G45/K45*100</f>
        <v>0</v>
      </c>
      <c r="I45" s="178">
        <v>80</v>
      </c>
      <c r="J45" s="179">
        <f t="shared" si="16"/>
        <v>100</v>
      </c>
      <c r="K45" s="178">
        <f t="shared" si="15"/>
        <v>80</v>
      </c>
      <c r="L45" s="182">
        <f t="shared" si="34"/>
        <v>100</v>
      </c>
      <c r="M45" s="173">
        <v>0</v>
      </c>
      <c r="N45" s="182">
        <v>0</v>
      </c>
      <c r="O45" s="183">
        <v>0</v>
      </c>
      <c r="P45" s="184">
        <v>0</v>
      </c>
      <c r="Q45" s="183">
        <v>0</v>
      </c>
      <c r="R45" s="182">
        <v>0</v>
      </c>
      <c r="S45" s="183">
        <f t="shared" si="24"/>
        <v>0</v>
      </c>
      <c r="T45" s="185">
        <f>S45/K45*100</f>
        <v>0</v>
      </c>
    </row>
    <row r="46" spans="1:20" ht="20.65" customHeight="1">
      <c r="A46" s="213" t="s">
        <v>68</v>
      </c>
      <c r="B46" s="187">
        <f>SUM(B47:B49)</f>
        <v>4564</v>
      </c>
      <c r="C46" s="188">
        <f>SUM(C47:C49)</f>
        <v>180</v>
      </c>
      <c r="D46" s="444">
        <f>SUM(D47:D49)</f>
        <v>255</v>
      </c>
      <c r="E46" s="187">
        <f>SUM(E47:E49)</f>
        <v>225</v>
      </c>
      <c r="F46" s="194">
        <f>E46/K46*100</f>
        <v>91.463414634146346</v>
      </c>
      <c r="G46" s="339">
        <f>SUM(G47:G49)</f>
        <v>14</v>
      </c>
      <c r="H46" s="279">
        <f>G46/K46*100</f>
        <v>5.6910569105691051</v>
      </c>
      <c r="I46" s="391">
        <f>SUM(I47:I49)</f>
        <v>7</v>
      </c>
      <c r="J46" s="279">
        <f>I46/K46*100</f>
        <v>2.8455284552845526</v>
      </c>
      <c r="K46" s="189">
        <f>SUM(K47:K49)</f>
        <v>246</v>
      </c>
      <c r="L46" s="194">
        <f t="shared" si="34"/>
        <v>96.470588235294116</v>
      </c>
      <c r="M46" s="187">
        <f>SUM(M47:M49)</f>
        <v>22</v>
      </c>
      <c r="N46" s="194">
        <f>M46/E46*100</f>
        <v>9.7777777777777786</v>
      </c>
      <c r="O46" s="196">
        <f>SUM(O47:O49)</f>
        <v>6</v>
      </c>
      <c r="P46" s="279">
        <f>O46/G46*100</f>
        <v>42.857142857142854</v>
      </c>
      <c r="Q46" s="189">
        <v>0</v>
      </c>
      <c r="R46" s="194">
        <v>0</v>
      </c>
      <c r="S46" s="196">
        <f>SUM(S47:S49)</f>
        <v>28</v>
      </c>
      <c r="T46" s="197">
        <f>S46/K46*100</f>
        <v>11.38211382113821</v>
      </c>
    </row>
    <row r="47" spans="1:20" ht="20.65" customHeight="1">
      <c r="A47" s="13" t="s">
        <v>69</v>
      </c>
      <c r="B47" s="136">
        <f>4465+48+13+2+3+3+30</f>
        <v>4564</v>
      </c>
      <c r="C47" s="341">
        <v>180</v>
      </c>
      <c r="D47" s="431">
        <f>239+2+14</f>
        <v>255</v>
      </c>
      <c r="E47" s="217">
        <v>225</v>
      </c>
      <c r="F47" s="220">
        <f t="shared" si="20"/>
        <v>94.142259414225933</v>
      </c>
      <c r="G47" s="219">
        <v>14</v>
      </c>
      <c r="H47" s="220">
        <f>G47/K47*100</f>
        <v>5.8577405857740583</v>
      </c>
      <c r="I47" s="219">
        <v>0</v>
      </c>
      <c r="J47" s="220">
        <f t="shared" si="16"/>
        <v>0</v>
      </c>
      <c r="K47" s="219">
        <f t="shared" si="15"/>
        <v>239</v>
      </c>
      <c r="L47" s="194">
        <f t="shared" si="34"/>
        <v>93.725490196078425</v>
      </c>
      <c r="M47" s="214">
        <v>22</v>
      </c>
      <c r="N47" s="141">
        <f>M47/E47*100</f>
        <v>9.7777777777777786</v>
      </c>
      <c r="O47" s="223">
        <v>6</v>
      </c>
      <c r="P47" s="141">
        <f>O47/G47*100</f>
        <v>42.857142857142854</v>
      </c>
      <c r="Q47" s="223">
        <v>0</v>
      </c>
      <c r="R47" s="143">
        <v>0</v>
      </c>
      <c r="S47" s="223">
        <f t="shared" si="24"/>
        <v>28</v>
      </c>
      <c r="T47" s="212">
        <f>S47/K47*100</f>
        <v>11.715481171548117</v>
      </c>
    </row>
    <row r="48" spans="1:20" ht="20.65" customHeight="1">
      <c r="A48" s="13" t="s">
        <v>70</v>
      </c>
      <c r="B48" s="136"/>
      <c r="C48" s="341"/>
      <c r="D48" s="431"/>
      <c r="E48" s="342"/>
      <c r="F48" s="345"/>
      <c r="G48" s="344"/>
      <c r="H48" s="345"/>
      <c r="I48" s="344">
        <v>4</v>
      </c>
      <c r="J48" s="345">
        <f t="shared" si="16"/>
        <v>100</v>
      </c>
      <c r="K48" s="344">
        <f t="shared" si="15"/>
        <v>4</v>
      </c>
      <c r="L48" s="146"/>
      <c r="M48" s="136"/>
      <c r="N48" s="144"/>
      <c r="O48" s="142"/>
      <c r="P48" s="144"/>
      <c r="Q48" s="142"/>
      <c r="R48" s="137"/>
      <c r="S48" s="142"/>
      <c r="T48" s="468"/>
    </row>
    <row r="49" spans="1:21" ht="20.65" customHeight="1" thickBot="1">
      <c r="A49" s="14" t="s">
        <v>71</v>
      </c>
      <c r="B49" s="150"/>
      <c r="C49" s="469"/>
      <c r="D49" s="470"/>
      <c r="E49" s="471"/>
      <c r="F49" s="472"/>
      <c r="G49" s="473"/>
      <c r="H49" s="472"/>
      <c r="I49" s="473">
        <v>3</v>
      </c>
      <c r="J49" s="472">
        <f t="shared" si="16"/>
        <v>100</v>
      </c>
      <c r="K49" s="473">
        <f t="shared" si="15"/>
        <v>3</v>
      </c>
      <c r="L49" s="158"/>
      <c r="M49" s="150"/>
      <c r="N49" s="155"/>
      <c r="O49" s="156"/>
      <c r="P49" s="155"/>
      <c r="Q49" s="156"/>
      <c r="R49" s="151"/>
      <c r="S49" s="156"/>
      <c r="T49" s="474"/>
    </row>
    <row r="50" spans="1:21" ht="21.95" customHeight="1">
      <c r="A50" s="266" t="s">
        <v>72</v>
      </c>
      <c r="B50" s="398">
        <f>SUM(B51)</f>
        <v>1825</v>
      </c>
      <c r="C50" s="268">
        <f>SUM(C51)</f>
        <v>80</v>
      </c>
      <c r="D50" s="399">
        <f>SUM(D51)</f>
        <v>75</v>
      </c>
      <c r="E50" s="267">
        <v>0</v>
      </c>
      <c r="F50" s="333">
        <v>0</v>
      </c>
      <c r="G50" s="273">
        <v>0</v>
      </c>
      <c r="H50" s="334">
        <v>0</v>
      </c>
      <c r="I50" s="271">
        <f>SUM(I51)</f>
        <v>74</v>
      </c>
      <c r="J50" s="334">
        <f>I50/K50*100</f>
        <v>100</v>
      </c>
      <c r="K50" s="273">
        <f>SUM(I50,E50,G50)</f>
        <v>74</v>
      </c>
      <c r="L50" s="168">
        <f t="shared" ref="L50:L51" si="35">+K50/D50*100</f>
        <v>98.666666666666671</v>
      </c>
      <c r="M50" s="267">
        <v>0</v>
      </c>
      <c r="N50" s="333">
        <v>0</v>
      </c>
      <c r="O50" s="273">
        <v>0</v>
      </c>
      <c r="P50" s="334">
        <v>0</v>
      </c>
      <c r="Q50" s="271">
        <f>SUM(Q51)</f>
        <v>1</v>
      </c>
      <c r="R50" s="336">
        <f>Q50/I50*100</f>
        <v>1.3513513513513513</v>
      </c>
      <c r="S50" s="273">
        <f t="shared" si="24"/>
        <v>1</v>
      </c>
      <c r="T50" s="348">
        <f>S50/K50*100</f>
        <v>1.3513513513513513</v>
      </c>
    </row>
    <row r="51" spans="1:21" ht="20.65" customHeight="1" thickBot="1">
      <c r="A51" s="349" t="s">
        <v>73</v>
      </c>
      <c r="B51" s="363">
        <f>1825</f>
        <v>1825</v>
      </c>
      <c r="C51" s="364">
        <v>80</v>
      </c>
      <c r="D51" s="475">
        <v>75</v>
      </c>
      <c r="E51" s="363">
        <v>0</v>
      </c>
      <c r="F51" s="372">
        <v>0</v>
      </c>
      <c r="G51" s="375">
        <v>0</v>
      </c>
      <c r="H51" s="374">
        <v>0</v>
      </c>
      <c r="I51" s="411">
        <v>74</v>
      </c>
      <c r="J51" s="369">
        <f t="shared" si="16"/>
        <v>100</v>
      </c>
      <c r="K51" s="411">
        <f t="shared" si="15"/>
        <v>74</v>
      </c>
      <c r="L51" s="357">
        <f t="shared" si="35"/>
        <v>98.666666666666671</v>
      </c>
      <c r="M51" s="363">
        <v>0</v>
      </c>
      <c r="N51" s="372">
        <v>0</v>
      </c>
      <c r="O51" s="375">
        <v>0</v>
      </c>
      <c r="P51" s="374">
        <v>0</v>
      </c>
      <c r="Q51" s="375">
        <v>1</v>
      </c>
      <c r="R51" s="372">
        <f>Q51/I51*100</f>
        <v>1.3513513513513513</v>
      </c>
      <c r="S51" s="375">
        <f t="shared" si="24"/>
        <v>1</v>
      </c>
      <c r="T51" s="357">
        <f>S51/K51*100</f>
        <v>1.3513513513513513</v>
      </c>
    </row>
    <row r="52" spans="1:21" ht="21.95" hidden="1" customHeight="1">
      <c r="A52" s="266" t="s">
        <v>74</v>
      </c>
      <c r="B52" s="267"/>
      <c r="C52" s="268"/>
      <c r="D52" s="420"/>
      <c r="E52" s="476"/>
      <c r="F52" s="477"/>
      <c r="G52" s="478"/>
      <c r="H52" s="477"/>
      <c r="I52" s="478"/>
      <c r="J52" s="477"/>
      <c r="K52" s="478"/>
      <c r="L52" s="479"/>
      <c r="M52" s="267"/>
      <c r="N52" s="334"/>
      <c r="O52" s="273"/>
      <c r="P52" s="334"/>
      <c r="Q52" s="273"/>
      <c r="R52" s="333"/>
      <c r="S52" s="273"/>
      <c r="T52" s="479"/>
    </row>
    <row r="53" spans="1:21" ht="21.95" hidden="1" customHeight="1" thickBot="1">
      <c r="A53" s="362" t="s">
        <v>75</v>
      </c>
      <c r="B53" s="413"/>
      <c r="C53" s="364"/>
      <c r="D53" s="414"/>
      <c r="E53" s="480"/>
      <c r="F53" s="481"/>
      <c r="G53" s="482"/>
      <c r="H53" s="481"/>
      <c r="I53" s="482"/>
      <c r="J53" s="481"/>
      <c r="K53" s="482"/>
      <c r="L53" s="483"/>
      <c r="M53" s="363"/>
      <c r="N53" s="374"/>
      <c r="O53" s="375"/>
      <c r="P53" s="374"/>
      <c r="Q53" s="375"/>
      <c r="R53" s="372"/>
      <c r="S53" s="375"/>
      <c r="T53" s="484"/>
    </row>
    <row r="54" spans="1:21" s="15" customFormat="1" ht="21.95" customHeight="1" thickBot="1">
      <c r="A54" s="415" t="s">
        <v>76</v>
      </c>
      <c r="B54" s="485">
        <f>SUM(B6,B14,B17,B21,B44,B50,B52)</f>
        <v>20293</v>
      </c>
      <c r="C54" s="486">
        <f>SUM(C6,C14,C17,C21,C44,C50,C52)</f>
        <v>3000</v>
      </c>
      <c r="D54" s="487">
        <f>SUM(D6,D14,D17,D21,D44,D50,D52)</f>
        <v>3865</v>
      </c>
      <c r="E54" s="485">
        <f>SUM(E6,E14,E17,E21,E44,E50,E52)</f>
        <v>2730</v>
      </c>
      <c r="F54" s="488">
        <f>E54/K54*100</f>
        <v>72.490706319702596</v>
      </c>
      <c r="G54" s="489">
        <f>SUM(G6,G14,G17,G21,G44,G50,G52)</f>
        <v>383</v>
      </c>
      <c r="H54" s="490">
        <f>G54/K54*100</f>
        <v>10.169941582580988</v>
      </c>
      <c r="I54" s="491">
        <f>SUM(I6,I14,I17,I21,I44,I50,I52)</f>
        <v>653</v>
      </c>
      <c r="J54" s="492">
        <f>I54/K54*100</f>
        <v>17.339352097716411</v>
      </c>
      <c r="K54" s="491">
        <f>SUM(K6,K14,K17,K21,K44,K50,K52)</f>
        <v>3766</v>
      </c>
      <c r="L54" s="492">
        <f t="shared" ref="L54" si="36">+K54/D54*100</f>
        <v>97.4385510996119</v>
      </c>
      <c r="M54" s="485">
        <f>SUM(M6,M14,M17,M21,M44,M50,M52)</f>
        <v>222</v>
      </c>
      <c r="N54" s="492">
        <f>M54/E54*100</f>
        <v>8.1318681318681314</v>
      </c>
      <c r="O54" s="489">
        <f>SUM(O6,O14,O17,O21,O44,O50,O52)</f>
        <v>45</v>
      </c>
      <c r="P54" s="490">
        <f>O54/G54*100</f>
        <v>11.74934725848564</v>
      </c>
      <c r="Q54" s="493">
        <f>SUM(Q6,Q14,Q17,Q21,Q44,Q50,Q52)</f>
        <v>73</v>
      </c>
      <c r="R54" s="492">
        <f>Q54/I54*100</f>
        <v>11.179173047473201</v>
      </c>
      <c r="S54" s="494">
        <f>SUM(S6,S14,S17,S21,S44,S50,S52)</f>
        <v>340</v>
      </c>
      <c r="T54" s="495">
        <f>S54/K54*100</f>
        <v>9.0281465746149756</v>
      </c>
      <c r="U54" s="31"/>
    </row>
    <row r="55" spans="1:21" s="44" customFormat="1" ht="86.45" customHeight="1">
      <c r="A55" s="927" t="s">
        <v>82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7"/>
      <c r="O55" s="927"/>
      <c r="P55" s="927"/>
      <c r="Q55" s="927"/>
      <c r="R55" s="927"/>
      <c r="S55" s="927"/>
      <c r="T55" s="927"/>
      <c r="U55" s="49"/>
    </row>
    <row r="56" spans="1:21" ht="24">
      <c r="A56" s="16" t="s">
        <v>77</v>
      </c>
      <c r="E56" s="50"/>
      <c r="I56" s="50"/>
      <c r="L56" s="51"/>
    </row>
  </sheetData>
  <mergeCells count="19">
    <mergeCell ref="A55:T55"/>
    <mergeCell ref="V3:V5"/>
    <mergeCell ref="W3:W5"/>
    <mergeCell ref="X3:X5"/>
    <mergeCell ref="E4:F4"/>
    <mergeCell ref="G4:H4"/>
    <mergeCell ref="I4:J4"/>
    <mergeCell ref="M4:N4"/>
    <mergeCell ref="O4:P4"/>
    <mergeCell ref="Q4:R4"/>
    <mergeCell ref="A1:T1"/>
    <mergeCell ref="A3:A5"/>
    <mergeCell ref="B3:B5"/>
    <mergeCell ref="C3:C5"/>
    <mergeCell ref="D3:D5"/>
    <mergeCell ref="E3:J3"/>
    <mergeCell ref="K3:L4"/>
    <mergeCell ref="M3:R3"/>
    <mergeCell ref="S3:T4"/>
  </mergeCells>
  <printOptions horizontalCentered="1"/>
  <pageMargins left="0.35433070866141736" right="0.31496062992125984" top="0.47" bottom="0.34" header="0.15748031496062992" footer="0.15748031496062992"/>
  <pageSetup paperSize="9" scale="74" firstPageNumber="3" orientation="landscape" useFirstPageNumber="1" r:id="rId1"/>
  <headerFooter>
    <oddFooter>&amp;L&amp;"TH SarabunPSK,Regular"&amp;8&amp;K00+000&amp;Z&amp;F&amp;R&amp;"TH SarabunPSK,Regular"&amp;16&amp;K00+000&amp;P</oddFooter>
  </headerFooter>
  <rowBreaks count="1" manualBreakCount="1">
    <brk id="3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56"/>
  <sheetViews>
    <sheetView showZeros="0" view="pageBreakPreview" topLeftCell="A19" zoomScaleNormal="85" zoomScaleSheetLayoutView="100" workbookViewId="0">
      <selection activeCell="B33" sqref="B33:D33"/>
    </sheetView>
  </sheetViews>
  <sheetFormatPr defaultRowHeight="15"/>
  <cols>
    <col min="1" max="1" width="29.85546875" style="53" customWidth="1"/>
    <col min="2" max="2" width="9.85546875" style="64" customWidth="1"/>
    <col min="3" max="3" width="8.42578125" style="64" customWidth="1"/>
    <col min="4" max="4" width="9.5703125" style="64" customWidth="1"/>
    <col min="5" max="5" width="6.42578125" style="50" customWidth="1"/>
    <col min="6" max="6" width="8.42578125" style="65" customWidth="1"/>
    <col min="7" max="7" width="5.140625" style="50" customWidth="1"/>
    <col min="8" max="8" width="8.140625" style="66" customWidth="1"/>
    <col min="9" max="9" width="5.140625" style="52" customWidth="1"/>
    <col min="10" max="10" width="8.85546875" style="65" customWidth="1"/>
    <col min="11" max="11" width="8.5703125" style="52" customWidth="1"/>
    <col min="12" max="12" width="8" style="65" customWidth="1"/>
    <col min="13" max="13" width="5.140625" style="52" customWidth="1"/>
    <col min="14" max="14" width="8.140625" style="65" customWidth="1"/>
    <col min="15" max="15" width="5.28515625" style="52" customWidth="1"/>
    <col min="16" max="16" width="7.85546875" style="65" customWidth="1"/>
    <col min="17" max="17" width="5.85546875" style="52" customWidth="1"/>
    <col min="18" max="18" width="8.42578125" style="65" customWidth="1"/>
    <col min="19" max="19" width="9" style="52" customWidth="1"/>
    <col min="20" max="20" width="7.85546875" style="65" customWidth="1"/>
  </cols>
  <sheetData>
    <row r="1" spans="1:20" ht="24.6" customHeight="1">
      <c r="A1" s="928" t="s">
        <v>89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</row>
    <row r="2" spans="1:20" ht="15.6" customHeight="1" thickBot="1">
      <c r="A2" s="55" t="s">
        <v>1</v>
      </c>
      <c r="B2" s="56"/>
      <c r="C2" s="56"/>
      <c r="D2" s="56"/>
      <c r="E2" s="32">
        <f>SUM(E7:E53)</f>
        <v>4670</v>
      </c>
      <c r="F2" s="34">
        <f>E2/K2*100</f>
        <v>67.927272727272722</v>
      </c>
      <c r="G2" s="32">
        <f>SUM(G7:G53)</f>
        <v>1113</v>
      </c>
      <c r="H2" s="34">
        <f>G2/K2*100</f>
        <v>16.189090909090908</v>
      </c>
      <c r="I2" s="32">
        <f>SUM(I7:I53)</f>
        <v>1092</v>
      </c>
      <c r="J2" s="34">
        <f>I2/K2*100</f>
        <v>15.883636363636363</v>
      </c>
      <c r="K2" s="32">
        <f>SUM(K7:K53)</f>
        <v>6875</v>
      </c>
      <c r="L2" s="34"/>
      <c r="M2" s="32">
        <f>SUM(M7:M53)</f>
        <v>280</v>
      </c>
      <c r="N2" s="34">
        <f>M2/E2*100</f>
        <v>5.9957173447537473</v>
      </c>
      <c r="O2" s="32">
        <f>SUM(O7:O53)</f>
        <v>87</v>
      </c>
      <c r="P2" s="34">
        <f>O2/G2*100</f>
        <v>7.8167115902964959</v>
      </c>
      <c r="Q2" s="32">
        <f>SUM(Q7:Q53)</f>
        <v>119</v>
      </c>
      <c r="R2" s="34">
        <f>Q2/I2*100</f>
        <v>10.897435897435898</v>
      </c>
      <c r="S2" s="32">
        <f>SUM(S7:S53)</f>
        <v>486</v>
      </c>
      <c r="T2" s="34">
        <f>S2/K2*100</f>
        <v>7.0690909090909093</v>
      </c>
    </row>
    <row r="3" spans="1:20" ht="42" customHeight="1" thickBot="1">
      <c r="A3" s="950" t="s">
        <v>2</v>
      </c>
      <c r="B3" s="966" t="s">
        <v>3</v>
      </c>
      <c r="C3" s="968" t="s">
        <v>4</v>
      </c>
      <c r="D3" s="955" t="s">
        <v>5</v>
      </c>
      <c r="E3" s="957" t="s">
        <v>6</v>
      </c>
      <c r="F3" s="958"/>
      <c r="G3" s="958"/>
      <c r="H3" s="958"/>
      <c r="I3" s="958"/>
      <c r="J3" s="958"/>
      <c r="K3" s="937" t="s">
        <v>7</v>
      </c>
      <c r="L3" s="923"/>
      <c r="M3" s="958" t="s">
        <v>90</v>
      </c>
      <c r="N3" s="958"/>
      <c r="O3" s="958"/>
      <c r="P3" s="958"/>
      <c r="Q3" s="958"/>
      <c r="R3" s="958"/>
      <c r="S3" s="937" t="s">
        <v>7</v>
      </c>
      <c r="T3" s="923"/>
    </row>
    <row r="4" spans="1:20" ht="21.75" customHeight="1" thickBot="1">
      <c r="A4" s="951"/>
      <c r="B4" s="967"/>
      <c r="C4" s="969"/>
      <c r="D4" s="956"/>
      <c r="E4" s="970" t="s">
        <v>8</v>
      </c>
      <c r="F4" s="971"/>
      <c r="G4" s="965" t="s">
        <v>9</v>
      </c>
      <c r="H4" s="959"/>
      <c r="I4" s="971" t="s">
        <v>10</v>
      </c>
      <c r="J4" s="971"/>
      <c r="K4" s="960"/>
      <c r="L4" s="961"/>
      <c r="M4" s="971" t="s">
        <v>8</v>
      </c>
      <c r="N4" s="971"/>
      <c r="O4" s="965" t="s">
        <v>9</v>
      </c>
      <c r="P4" s="959"/>
      <c r="Q4" s="971" t="s">
        <v>10</v>
      </c>
      <c r="R4" s="971"/>
      <c r="S4" s="960"/>
      <c r="T4" s="961"/>
    </row>
    <row r="5" spans="1:20" ht="57" thickBot="1">
      <c r="A5" s="952"/>
      <c r="B5" s="967"/>
      <c r="C5" s="969"/>
      <c r="D5" s="956"/>
      <c r="E5" s="37" t="s">
        <v>11</v>
      </c>
      <c r="F5" s="57" t="s">
        <v>12</v>
      </c>
      <c r="G5" s="39" t="s">
        <v>13</v>
      </c>
      <c r="H5" s="58" t="s">
        <v>14</v>
      </c>
      <c r="I5" s="41" t="s">
        <v>15</v>
      </c>
      <c r="J5" s="57" t="s">
        <v>16</v>
      </c>
      <c r="K5" s="42" t="s">
        <v>17</v>
      </c>
      <c r="L5" s="59" t="s">
        <v>18</v>
      </c>
      <c r="M5" s="41" t="s">
        <v>19</v>
      </c>
      <c r="N5" s="57" t="s">
        <v>20</v>
      </c>
      <c r="O5" s="39" t="s">
        <v>21</v>
      </c>
      <c r="P5" s="58" t="s">
        <v>22</v>
      </c>
      <c r="Q5" s="41" t="s">
        <v>23</v>
      </c>
      <c r="R5" s="57" t="s">
        <v>24</v>
      </c>
      <c r="S5" s="42" t="s">
        <v>25</v>
      </c>
      <c r="T5" s="59" t="s">
        <v>26</v>
      </c>
    </row>
    <row r="6" spans="1:20" ht="19.149999999999999" customHeight="1">
      <c r="A6" s="496" t="s">
        <v>27</v>
      </c>
      <c r="B6" s="497">
        <f>SUM(B7:B8)</f>
        <v>690</v>
      </c>
      <c r="C6" s="498">
        <f t="shared" ref="C6:D6" si="0">SUM(C7:C8)</f>
        <v>180</v>
      </c>
      <c r="D6" s="499">
        <f t="shared" si="0"/>
        <v>117</v>
      </c>
      <c r="E6" s="267">
        <f>SUM(E7:E8)</f>
        <v>52</v>
      </c>
      <c r="F6" s="270">
        <f>E6/K6*100</f>
        <v>46.428571428571431</v>
      </c>
      <c r="G6" s="273">
        <f>SUM(G7:G8)</f>
        <v>2</v>
      </c>
      <c r="H6" s="500">
        <f t="shared" ref="H6" si="1">G6/K6*100</f>
        <v>1.7857142857142856</v>
      </c>
      <c r="I6" s="269">
        <f>SUM(I7:I8)</f>
        <v>58</v>
      </c>
      <c r="J6" s="272">
        <f t="shared" ref="J6:J14" si="2">I6/K6*100</f>
        <v>51.785714285714292</v>
      </c>
      <c r="K6" s="269">
        <f>SUM(K7:K8)</f>
        <v>112</v>
      </c>
      <c r="L6" s="274">
        <f>+K6/D6*100</f>
        <v>95.726495726495727</v>
      </c>
      <c r="M6" s="269">
        <f>SUM(M7:M13)</f>
        <v>1</v>
      </c>
      <c r="N6" s="501">
        <f>M6/E6*100</f>
        <v>1.9230769230769231</v>
      </c>
      <c r="O6" s="273">
        <f t="shared" ref="O6" si="3">SUM(O7:O9)</f>
        <v>0</v>
      </c>
      <c r="P6" s="272">
        <f t="shared" ref="P6" si="4">O6/G6*100</f>
        <v>0</v>
      </c>
      <c r="Q6" s="269">
        <f>SUM(Q7:Q13)</f>
        <v>0</v>
      </c>
      <c r="R6" s="270">
        <v>0</v>
      </c>
      <c r="S6" s="273">
        <f>SUM(S7:S13)</f>
        <v>1</v>
      </c>
      <c r="T6" s="274">
        <f t="shared" ref="T6" si="5">S6/K6*100</f>
        <v>0.89285714285714279</v>
      </c>
    </row>
    <row r="7" spans="1:20" s="44" customFormat="1" ht="19.149999999999999" customHeight="1">
      <c r="A7" s="338" t="s">
        <v>28</v>
      </c>
      <c r="B7" s="502">
        <f>275+1+5+5+1+8+12</f>
        <v>307</v>
      </c>
      <c r="C7" s="503">
        <v>60</v>
      </c>
      <c r="D7" s="504">
        <f>57+1+4+1+1+2</f>
        <v>66</v>
      </c>
      <c r="E7" s="505">
        <v>52</v>
      </c>
      <c r="F7" s="506">
        <f>E7/K7*100</f>
        <v>82.539682539682531</v>
      </c>
      <c r="G7" s="507">
        <v>2</v>
      </c>
      <c r="H7" s="508">
        <f>G7/K7*100</f>
        <v>3.1746031746031744</v>
      </c>
      <c r="I7" s="507">
        <v>9</v>
      </c>
      <c r="J7" s="508">
        <f t="shared" si="2"/>
        <v>14.285714285714285</v>
      </c>
      <c r="K7" s="507">
        <f>SUM(I7,E7,G7)</f>
        <v>63</v>
      </c>
      <c r="L7" s="509">
        <f>+K7/D7*100</f>
        <v>95.454545454545453</v>
      </c>
      <c r="M7" s="510">
        <v>1</v>
      </c>
      <c r="N7" s="508">
        <f>M7/E7*100</f>
        <v>1.9230769230769231</v>
      </c>
      <c r="O7" s="507">
        <v>0</v>
      </c>
      <c r="P7" s="508">
        <v>0</v>
      </c>
      <c r="Q7" s="507">
        <v>0</v>
      </c>
      <c r="R7" s="506">
        <v>0</v>
      </c>
      <c r="S7" s="507">
        <f t="shared" ref="S7:S51" si="6">SUM(M7,O7,Q7)</f>
        <v>1</v>
      </c>
      <c r="T7" s="511">
        <f>S7/K7*100</f>
        <v>1.5873015873015872</v>
      </c>
    </row>
    <row r="8" spans="1:20" s="44" customFormat="1" ht="19.149999999999999" customHeight="1">
      <c r="A8" s="186" t="s">
        <v>29</v>
      </c>
      <c r="B8" s="512">
        <f>SUM(B9:B13)</f>
        <v>383</v>
      </c>
      <c r="C8" s="513">
        <f t="shared" ref="C8:D8" si="7">SUM(C9:C13)</f>
        <v>120</v>
      </c>
      <c r="D8" s="514">
        <f t="shared" si="7"/>
        <v>51</v>
      </c>
      <c r="E8" s="515">
        <v>0</v>
      </c>
      <c r="F8" s="516">
        <v>0</v>
      </c>
      <c r="G8" s="517">
        <v>0</v>
      </c>
      <c r="H8" s="518">
        <v>0</v>
      </c>
      <c r="I8" s="517">
        <f>SUM(I9:I13)</f>
        <v>49</v>
      </c>
      <c r="J8" s="518">
        <f>I8/K8*100</f>
        <v>100</v>
      </c>
      <c r="K8" s="517">
        <f t="shared" ref="K8:K13" si="8">SUM(I8,E8,G8)</f>
        <v>49</v>
      </c>
      <c r="L8" s="519">
        <f t="shared" ref="L8:L9" si="9">+K8/D8*100</f>
        <v>96.078431372549019</v>
      </c>
      <c r="M8" s="430">
        <v>0</v>
      </c>
      <c r="N8" s="520">
        <v>0</v>
      </c>
      <c r="O8" s="428">
        <v>0</v>
      </c>
      <c r="P8" s="520">
        <v>0</v>
      </c>
      <c r="Q8" s="428">
        <v>0</v>
      </c>
      <c r="R8" s="521">
        <v>0</v>
      </c>
      <c r="S8" s="428">
        <f t="shared" si="6"/>
        <v>0</v>
      </c>
      <c r="T8" s="522">
        <v>0</v>
      </c>
    </row>
    <row r="9" spans="1:20" s="44" customFormat="1" ht="19.149999999999999" customHeight="1">
      <c r="A9" s="213" t="s">
        <v>30</v>
      </c>
      <c r="B9" s="523">
        <f>18+311+54</f>
        <v>383</v>
      </c>
      <c r="C9" s="134">
        <v>120</v>
      </c>
      <c r="D9" s="524">
        <v>51</v>
      </c>
      <c r="E9" s="525">
        <v>1</v>
      </c>
      <c r="F9" s="526">
        <f>E9/K9*100</f>
        <v>2.4390243902439024</v>
      </c>
      <c r="G9" s="527">
        <v>0</v>
      </c>
      <c r="H9" s="526">
        <v>0</v>
      </c>
      <c r="I9" s="527">
        <v>40</v>
      </c>
      <c r="J9" s="526">
        <f t="shared" si="2"/>
        <v>97.560975609756099</v>
      </c>
      <c r="K9" s="527">
        <f t="shared" si="8"/>
        <v>41</v>
      </c>
      <c r="L9" s="519">
        <f t="shared" si="9"/>
        <v>80.392156862745097</v>
      </c>
      <c r="M9" s="430">
        <v>0</v>
      </c>
      <c r="N9" s="520">
        <v>0</v>
      </c>
      <c r="O9" s="428">
        <v>0</v>
      </c>
      <c r="P9" s="520">
        <v>0</v>
      </c>
      <c r="Q9" s="428">
        <v>0</v>
      </c>
      <c r="R9" s="521">
        <v>0</v>
      </c>
      <c r="S9" s="428">
        <f t="shared" si="6"/>
        <v>0</v>
      </c>
      <c r="T9" s="522">
        <v>0</v>
      </c>
    </row>
    <row r="10" spans="1:20" s="44" customFormat="1" ht="19.149999999999999" customHeight="1">
      <c r="A10" s="213" t="s">
        <v>31</v>
      </c>
      <c r="B10" s="528"/>
      <c r="C10" s="529"/>
      <c r="D10" s="530"/>
      <c r="E10" s="525"/>
      <c r="F10" s="526"/>
      <c r="G10" s="527"/>
      <c r="H10" s="526"/>
      <c r="I10" s="527">
        <v>2</v>
      </c>
      <c r="J10" s="526">
        <f t="shared" si="2"/>
        <v>100</v>
      </c>
      <c r="K10" s="527">
        <f t="shared" si="8"/>
        <v>2</v>
      </c>
      <c r="L10" s="531"/>
      <c r="M10" s="525"/>
      <c r="N10" s="526"/>
      <c r="O10" s="527"/>
      <c r="P10" s="526"/>
      <c r="Q10" s="527"/>
      <c r="R10" s="532"/>
      <c r="S10" s="527"/>
      <c r="T10" s="531"/>
    </row>
    <row r="11" spans="1:20" s="44" customFormat="1" ht="19.149999999999999" customHeight="1">
      <c r="A11" s="213" t="s">
        <v>32</v>
      </c>
      <c r="B11" s="528"/>
      <c r="C11" s="529"/>
      <c r="D11" s="530"/>
      <c r="E11" s="525"/>
      <c r="F11" s="526"/>
      <c r="G11" s="527"/>
      <c r="H11" s="526"/>
      <c r="I11" s="527">
        <v>3</v>
      </c>
      <c r="J11" s="526">
        <f t="shared" si="2"/>
        <v>100</v>
      </c>
      <c r="K11" s="527">
        <f t="shared" si="8"/>
        <v>3</v>
      </c>
      <c r="L11" s="531"/>
      <c r="M11" s="525"/>
      <c r="N11" s="526"/>
      <c r="O11" s="527"/>
      <c r="P11" s="526"/>
      <c r="Q11" s="527"/>
      <c r="R11" s="532"/>
      <c r="S11" s="527"/>
      <c r="T11" s="531"/>
    </row>
    <row r="12" spans="1:20" s="44" customFormat="1" ht="19.149999999999999" customHeight="1">
      <c r="A12" s="213" t="s">
        <v>33</v>
      </c>
      <c r="B12" s="533"/>
      <c r="C12" s="534"/>
      <c r="D12" s="535"/>
      <c r="E12" s="536"/>
      <c r="F12" s="537"/>
      <c r="G12" s="538"/>
      <c r="H12" s="537"/>
      <c r="I12" s="538">
        <v>3</v>
      </c>
      <c r="J12" s="537">
        <f t="shared" si="2"/>
        <v>100</v>
      </c>
      <c r="K12" s="538">
        <f t="shared" si="8"/>
        <v>3</v>
      </c>
      <c r="L12" s="539"/>
      <c r="M12" s="536"/>
      <c r="N12" s="537"/>
      <c r="O12" s="538"/>
      <c r="P12" s="537"/>
      <c r="Q12" s="538"/>
      <c r="R12" s="540"/>
      <c r="S12" s="538"/>
      <c r="T12" s="539"/>
    </row>
    <row r="13" spans="1:20" ht="19.149999999999999" customHeight="1" thickBot="1">
      <c r="A13" s="225" t="s">
        <v>34</v>
      </c>
      <c r="B13" s="533"/>
      <c r="C13" s="534"/>
      <c r="D13" s="535"/>
      <c r="E13" s="536"/>
      <c r="F13" s="537"/>
      <c r="G13" s="538"/>
      <c r="H13" s="537"/>
      <c r="I13" s="538">
        <v>1</v>
      </c>
      <c r="J13" s="537">
        <f t="shared" si="2"/>
        <v>100</v>
      </c>
      <c r="K13" s="538">
        <f t="shared" si="8"/>
        <v>1</v>
      </c>
      <c r="L13" s="539"/>
      <c r="M13" s="536"/>
      <c r="N13" s="537"/>
      <c r="O13" s="538"/>
      <c r="P13" s="537"/>
      <c r="Q13" s="538"/>
      <c r="R13" s="540"/>
      <c r="S13" s="538"/>
      <c r="T13" s="539"/>
    </row>
    <row r="14" spans="1:20" ht="19.149999999999999" customHeight="1">
      <c r="A14" s="541" t="s">
        <v>35</v>
      </c>
      <c r="B14" s="542">
        <f>SUM(B15:B16)</f>
        <v>2966</v>
      </c>
      <c r="C14" s="542">
        <f>SUM(C15:C16)</f>
        <v>290</v>
      </c>
      <c r="D14" s="543">
        <f>SUM(D15:D16)</f>
        <v>369</v>
      </c>
      <c r="E14" s="544">
        <f t="shared" ref="E14:S14" si="10">SUM(E15:E16)</f>
        <v>251</v>
      </c>
      <c r="F14" s="545">
        <f t="shared" ref="F14:F39" si="11">E14/K14*100</f>
        <v>71.509971509971521</v>
      </c>
      <c r="G14" s="546">
        <f t="shared" si="10"/>
        <v>65</v>
      </c>
      <c r="H14" s="547">
        <f t="shared" ref="H14" si="12">G14/K14*100</f>
        <v>18.518518518518519</v>
      </c>
      <c r="I14" s="546">
        <f t="shared" si="10"/>
        <v>35</v>
      </c>
      <c r="J14" s="547">
        <f t="shared" si="2"/>
        <v>9.9715099715099722</v>
      </c>
      <c r="K14" s="546">
        <f t="shared" si="10"/>
        <v>351</v>
      </c>
      <c r="L14" s="548">
        <f>+K14/D14*100</f>
        <v>95.121951219512198</v>
      </c>
      <c r="M14" s="165">
        <f t="shared" si="10"/>
        <v>20</v>
      </c>
      <c r="N14" s="237">
        <f>M14/E14*100</f>
        <v>7.9681274900398407</v>
      </c>
      <c r="O14" s="169">
        <f t="shared" si="10"/>
        <v>4</v>
      </c>
      <c r="P14" s="237">
        <f>+O14/G14*100</f>
        <v>6.1538461538461542</v>
      </c>
      <c r="Q14" s="169">
        <f t="shared" si="10"/>
        <v>3</v>
      </c>
      <c r="R14" s="233">
        <f>+Q14/I14*100</f>
        <v>8.5714285714285712</v>
      </c>
      <c r="S14" s="234">
        <f t="shared" si="10"/>
        <v>27</v>
      </c>
      <c r="T14" s="238">
        <f t="shared" ref="T14" si="13">S14/K14*100</f>
        <v>7.6923076923076925</v>
      </c>
    </row>
    <row r="15" spans="1:20" ht="19.149999999999999" customHeight="1">
      <c r="A15" s="239" t="s">
        <v>36</v>
      </c>
      <c r="B15" s="446">
        <f>718+1+8+16+80</f>
        <v>823</v>
      </c>
      <c r="C15" s="447">
        <v>200</v>
      </c>
      <c r="D15" s="549">
        <f>162+14+42</f>
        <v>218</v>
      </c>
      <c r="E15" s="550">
        <v>155</v>
      </c>
      <c r="F15" s="551">
        <f t="shared" si="11"/>
        <v>74.162679425837325</v>
      </c>
      <c r="G15" s="552">
        <v>40</v>
      </c>
      <c r="H15" s="551">
        <f>G15/K15*100</f>
        <v>19.138755980861244</v>
      </c>
      <c r="I15" s="552">
        <v>14</v>
      </c>
      <c r="J15" s="551">
        <f>I15/K15*100</f>
        <v>6.6985645933014357</v>
      </c>
      <c r="K15" s="552">
        <f t="shared" ref="K15:K16" si="14">SUM(I15,E15,G15)</f>
        <v>209</v>
      </c>
      <c r="L15" s="553">
        <f t="shared" ref="L15:L22" si="15">+K15/D15*100</f>
        <v>95.87155963302753</v>
      </c>
      <c r="M15" s="554">
        <v>12</v>
      </c>
      <c r="N15" s="555">
        <f>M15/E15*100</f>
        <v>7.741935483870968</v>
      </c>
      <c r="O15" s="556">
        <v>3</v>
      </c>
      <c r="P15" s="555">
        <f>O15/G15*100</f>
        <v>7.5</v>
      </c>
      <c r="Q15" s="556">
        <v>0</v>
      </c>
      <c r="R15" s="557">
        <v>0</v>
      </c>
      <c r="S15" s="552">
        <f t="shared" si="6"/>
        <v>15</v>
      </c>
      <c r="T15" s="558">
        <f>S15/K15*100</f>
        <v>7.1770334928229662</v>
      </c>
    </row>
    <row r="16" spans="1:20" ht="19.149999999999999" customHeight="1" thickBot="1">
      <c r="A16" s="559" t="s">
        <v>37</v>
      </c>
      <c r="B16" s="560">
        <f>2051+16+15+9+7+45</f>
        <v>2143</v>
      </c>
      <c r="C16" s="561">
        <v>90</v>
      </c>
      <c r="D16" s="562">
        <f>101+15+4+4+27</f>
        <v>151</v>
      </c>
      <c r="E16" s="563">
        <v>96</v>
      </c>
      <c r="F16" s="564">
        <f t="shared" si="11"/>
        <v>67.605633802816897</v>
      </c>
      <c r="G16" s="565">
        <v>25</v>
      </c>
      <c r="H16" s="564">
        <f>G16/K16*100</f>
        <v>17.6056338028169</v>
      </c>
      <c r="I16" s="565">
        <v>21</v>
      </c>
      <c r="J16" s="564">
        <f>I16/K16*100</f>
        <v>14.788732394366196</v>
      </c>
      <c r="K16" s="565">
        <f t="shared" si="14"/>
        <v>142</v>
      </c>
      <c r="L16" s="566">
        <f t="shared" si="15"/>
        <v>94.039735099337747</v>
      </c>
      <c r="M16" s="567">
        <v>8</v>
      </c>
      <c r="N16" s="508">
        <f>M16/E16*100</f>
        <v>8.3333333333333321</v>
      </c>
      <c r="O16" s="507">
        <v>1</v>
      </c>
      <c r="P16" s="508">
        <f>O16/G16*100</f>
        <v>4</v>
      </c>
      <c r="Q16" s="507">
        <v>3</v>
      </c>
      <c r="R16" s="506">
        <f>Q16/I16*100</f>
        <v>14.285714285714285</v>
      </c>
      <c r="S16" s="565">
        <f t="shared" si="6"/>
        <v>12</v>
      </c>
      <c r="T16" s="568">
        <f>S16/K16*100</f>
        <v>8.4507042253521121</v>
      </c>
    </row>
    <row r="17" spans="1:20" ht="19.149999999999999" customHeight="1">
      <c r="A17" s="496" t="s">
        <v>38</v>
      </c>
      <c r="B17" s="498">
        <f>SUM(B18:B20)</f>
        <v>1622</v>
      </c>
      <c r="C17" s="498">
        <f>SUM(C18:C20)</f>
        <v>270</v>
      </c>
      <c r="D17" s="498">
        <f>SUM(D18:D20)</f>
        <v>449</v>
      </c>
      <c r="E17" s="267">
        <f>SUM(E18:E20)</f>
        <v>282</v>
      </c>
      <c r="F17" s="270">
        <f t="shared" si="11"/>
        <v>66.197183098591552</v>
      </c>
      <c r="G17" s="271">
        <f>SUM(G18:G20)</f>
        <v>66</v>
      </c>
      <c r="H17" s="500">
        <f t="shared" ref="H17" si="16">G17/K17*100</f>
        <v>15.492957746478872</v>
      </c>
      <c r="I17" s="269">
        <f>SUM(I18:I20)</f>
        <v>78</v>
      </c>
      <c r="J17" s="272">
        <f t="shared" ref="J17" si="17">I17/K17*100</f>
        <v>18.30985915492958</v>
      </c>
      <c r="K17" s="273">
        <f>SUM(I17,E17,G17)</f>
        <v>426</v>
      </c>
      <c r="L17" s="233">
        <f t="shared" si="15"/>
        <v>94.877505567928736</v>
      </c>
      <c r="M17" s="267">
        <f>SUM(M18:M20)</f>
        <v>29</v>
      </c>
      <c r="N17" s="501">
        <f t="shared" ref="N17" si="18">M17/E17*100</f>
        <v>10.283687943262411</v>
      </c>
      <c r="O17" s="273">
        <f>SUM(O18:O20)</f>
        <v>10</v>
      </c>
      <c r="P17" s="235">
        <f>+O17/G17*100</f>
        <v>15.151515151515152</v>
      </c>
      <c r="Q17" s="269">
        <f>SUM(Q18:Q20)</f>
        <v>10</v>
      </c>
      <c r="R17" s="270">
        <f t="shared" ref="R17" si="19">Q17/I17*100</f>
        <v>12.820512820512819</v>
      </c>
      <c r="S17" s="273">
        <f t="shared" si="6"/>
        <v>49</v>
      </c>
      <c r="T17" s="274">
        <f t="shared" ref="T17" si="20">S17/K17*100</f>
        <v>11.502347417840376</v>
      </c>
    </row>
    <row r="18" spans="1:20" ht="19.149999999999999" customHeight="1">
      <c r="A18" s="569" t="s">
        <v>39</v>
      </c>
      <c r="B18" s="446">
        <f>293+10+33+7+8+50</f>
        <v>401</v>
      </c>
      <c r="C18" s="447">
        <v>90</v>
      </c>
      <c r="D18" s="549">
        <f>98+32+21</f>
        <v>151</v>
      </c>
      <c r="E18" s="550">
        <v>89</v>
      </c>
      <c r="F18" s="551">
        <f t="shared" si="11"/>
        <v>62.676056338028175</v>
      </c>
      <c r="G18" s="552">
        <v>21</v>
      </c>
      <c r="H18" s="551">
        <f>G18/K18*100</f>
        <v>14.788732394366196</v>
      </c>
      <c r="I18" s="552">
        <v>32</v>
      </c>
      <c r="J18" s="551">
        <f>I18/K18*100</f>
        <v>22.535211267605636</v>
      </c>
      <c r="K18" s="552">
        <f t="shared" ref="K18:K20" si="21">SUM(I18,E18,G18)</f>
        <v>142</v>
      </c>
      <c r="L18" s="570">
        <f t="shared" si="15"/>
        <v>94.039735099337747</v>
      </c>
      <c r="M18" s="550">
        <v>7</v>
      </c>
      <c r="N18" s="551">
        <f>M18/E18*100</f>
        <v>7.8651685393258424</v>
      </c>
      <c r="O18" s="552">
        <v>1</v>
      </c>
      <c r="P18" s="551">
        <f>O18/G18*100</f>
        <v>4.7619047619047619</v>
      </c>
      <c r="Q18" s="552">
        <v>3</v>
      </c>
      <c r="R18" s="571">
        <f>Q18/I18*100</f>
        <v>9.375</v>
      </c>
      <c r="S18" s="552">
        <f t="shared" si="6"/>
        <v>11</v>
      </c>
      <c r="T18" s="558">
        <f>S18/K18*100</f>
        <v>7.7464788732394361</v>
      </c>
    </row>
    <row r="19" spans="1:20" ht="19.149999999999999" customHeight="1">
      <c r="A19" s="572" t="s">
        <v>40</v>
      </c>
      <c r="B19" s="573">
        <f>172+7+33+7+6+80</f>
        <v>305</v>
      </c>
      <c r="C19" s="574">
        <v>90</v>
      </c>
      <c r="D19" s="575">
        <f>52+31+5+2+40</f>
        <v>130</v>
      </c>
      <c r="E19" s="576">
        <v>48</v>
      </c>
      <c r="F19" s="577">
        <f t="shared" si="11"/>
        <v>39.024390243902438</v>
      </c>
      <c r="G19" s="578">
        <v>37</v>
      </c>
      <c r="H19" s="577">
        <f>G19/K19*100</f>
        <v>30.081300813008134</v>
      </c>
      <c r="I19" s="578">
        <v>38</v>
      </c>
      <c r="J19" s="577">
        <f>I19/K19*100</f>
        <v>30.894308943089431</v>
      </c>
      <c r="K19" s="578">
        <f t="shared" si="21"/>
        <v>123</v>
      </c>
      <c r="L19" s="579">
        <f t="shared" si="15"/>
        <v>94.615384615384613</v>
      </c>
      <c r="M19" s="576">
        <v>11</v>
      </c>
      <c r="N19" s="577">
        <f>M19/E19*100</f>
        <v>22.916666666666664</v>
      </c>
      <c r="O19" s="578">
        <v>8</v>
      </c>
      <c r="P19" s="577">
        <f>O19/G19*100</f>
        <v>21.621621621621621</v>
      </c>
      <c r="Q19" s="578">
        <v>7</v>
      </c>
      <c r="R19" s="580">
        <f>Q19/I19*100</f>
        <v>18.421052631578945</v>
      </c>
      <c r="S19" s="578">
        <f t="shared" si="6"/>
        <v>26</v>
      </c>
      <c r="T19" s="581">
        <f>S19/K19*100</f>
        <v>21.138211382113823</v>
      </c>
    </row>
    <row r="20" spans="1:20" ht="19.149999999999999" customHeight="1" thickBot="1">
      <c r="A20" s="338" t="s">
        <v>41</v>
      </c>
      <c r="B20" s="502">
        <f>841+31+18+5+1+20</f>
        <v>916</v>
      </c>
      <c r="C20" s="503">
        <v>90</v>
      </c>
      <c r="D20" s="504">
        <f>153+3+1+1+10</f>
        <v>168</v>
      </c>
      <c r="E20" s="567">
        <v>145</v>
      </c>
      <c r="F20" s="508">
        <f t="shared" si="11"/>
        <v>90.062111801242239</v>
      </c>
      <c r="G20" s="507">
        <v>8</v>
      </c>
      <c r="H20" s="508">
        <f>G20/K20*100</f>
        <v>4.9689440993788816</v>
      </c>
      <c r="I20" s="507">
        <v>8</v>
      </c>
      <c r="J20" s="508">
        <f>I20/K20*100</f>
        <v>4.9689440993788816</v>
      </c>
      <c r="K20" s="507">
        <f t="shared" si="21"/>
        <v>161</v>
      </c>
      <c r="L20" s="582">
        <f t="shared" si="15"/>
        <v>95.833333333333343</v>
      </c>
      <c r="M20" s="567">
        <v>11</v>
      </c>
      <c r="N20" s="508">
        <f>M20/E20*100</f>
        <v>7.5862068965517242</v>
      </c>
      <c r="O20" s="507">
        <v>1</v>
      </c>
      <c r="P20" s="508">
        <f>O20/G20*100</f>
        <v>12.5</v>
      </c>
      <c r="Q20" s="507">
        <v>0</v>
      </c>
      <c r="R20" s="506">
        <f>Q20/I20*100</f>
        <v>0</v>
      </c>
      <c r="S20" s="507">
        <f t="shared" si="6"/>
        <v>12</v>
      </c>
      <c r="T20" s="511">
        <f>S20/K20*100</f>
        <v>7.4534161490683228</v>
      </c>
    </row>
    <row r="21" spans="1:20" ht="19.149999999999999" customHeight="1">
      <c r="A21" s="496" t="s">
        <v>42</v>
      </c>
      <c r="B21" s="294">
        <f>+B22</f>
        <v>9002</v>
      </c>
      <c r="C21" s="295">
        <f>+C22</f>
        <v>1860</v>
      </c>
      <c r="D21" s="405">
        <f>+D22</f>
        <v>2262</v>
      </c>
      <c r="E21" s="583">
        <f>SUM(E22:E43)</f>
        <v>1546</v>
      </c>
      <c r="F21" s="272">
        <f t="shared" si="11"/>
        <v>71.840148698884747</v>
      </c>
      <c r="G21" s="583">
        <f>SUM(G22:G43)</f>
        <v>366</v>
      </c>
      <c r="H21" s="500">
        <f t="shared" ref="H21" si="22">G21/K21*100</f>
        <v>17.007434944237918</v>
      </c>
      <c r="I21" s="583">
        <f>SUM(I22:I43)</f>
        <v>240</v>
      </c>
      <c r="J21" s="272">
        <f t="shared" ref="J21:J42" si="23">I21/K21*100</f>
        <v>11.152416356877323</v>
      </c>
      <c r="K21" s="273">
        <f>SUM(I21,E21,G21)</f>
        <v>2152</v>
      </c>
      <c r="L21" s="274">
        <f t="shared" si="15"/>
        <v>95.1370468611848</v>
      </c>
      <c r="M21" s="583">
        <f>SUM(M22:M43)</f>
        <v>83</v>
      </c>
      <c r="N21" s="501">
        <f t="shared" ref="N21" si="24">M21/E21*100</f>
        <v>5.3686934023285904</v>
      </c>
      <c r="O21" s="584">
        <f>SUM(O22:O43)</f>
        <v>25</v>
      </c>
      <c r="P21" s="235">
        <f>+O21/G21*100</f>
        <v>6.8306010928961758</v>
      </c>
      <c r="Q21" s="583">
        <f>SUM(Q22:Q43)</f>
        <v>44</v>
      </c>
      <c r="R21" s="270">
        <f t="shared" ref="R21" si="25">Q21/I21*100</f>
        <v>18.333333333333332</v>
      </c>
      <c r="S21" s="169">
        <f t="shared" si="6"/>
        <v>152</v>
      </c>
      <c r="T21" s="274">
        <f t="shared" ref="T21" si="26">S21/K21*100</f>
        <v>7.0631970260223049</v>
      </c>
    </row>
    <row r="22" spans="1:20" ht="19.149999999999999" customHeight="1">
      <c r="A22" s="585" t="s">
        <v>43</v>
      </c>
      <c r="B22" s="446">
        <f>7866+1+4+287+193+142+9+500</f>
        <v>9002</v>
      </c>
      <c r="C22" s="447">
        <v>1860</v>
      </c>
      <c r="D22" s="448">
        <f>1668+4+109+9+89+383</f>
        <v>2262</v>
      </c>
      <c r="E22" s="586">
        <v>1154</v>
      </c>
      <c r="F22" s="555">
        <f t="shared" si="11"/>
        <v>72.624292007551915</v>
      </c>
      <c r="G22" s="556">
        <v>366</v>
      </c>
      <c r="H22" s="555">
        <f>G22/K22*100</f>
        <v>23.033354310887351</v>
      </c>
      <c r="I22" s="556">
        <v>69</v>
      </c>
      <c r="J22" s="555">
        <f t="shared" si="23"/>
        <v>4.3423536815607306</v>
      </c>
      <c r="K22" s="556">
        <f t="shared" ref="K22:K43" si="27">SUM(I22,E22,G22)</f>
        <v>1589</v>
      </c>
      <c r="L22" s="587">
        <f t="shared" si="15"/>
        <v>70.247568523430587</v>
      </c>
      <c r="M22" s="554">
        <v>76</v>
      </c>
      <c r="N22" s="555">
        <f>M22/E22*100</f>
        <v>6.5857885615251295</v>
      </c>
      <c r="O22" s="556">
        <v>25</v>
      </c>
      <c r="P22" s="555">
        <f>O22/G22*100</f>
        <v>6.8306010928961758</v>
      </c>
      <c r="Q22" s="556">
        <v>11</v>
      </c>
      <c r="R22" s="557">
        <f>Q22/I22*100</f>
        <v>15.942028985507244</v>
      </c>
      <c r="S22" s="556">
        <f t="shared" si="6"/>
        <v>112</v>
      </c>
      <c r="T22" s="588">
        <f>S22/K22*100</f>
        <v>7.0484581497797363</v>
      </c>
    </row>
    <row r="23" spans="1:20" ht="19.149999999999999" customHeight="1">
      <c r="A23" s="585" t="s">
        <v>44</v>
      </c>
      <c r="B23" s="589"/>
      <c r="C23" s="590"/>
      <c r="D23" s="591"/>
      <c r="E23" s="576">
        <v>22</v>
      </c>
      <c r="F23" s="577">
        <f t="shared" si="11"/>
        <v>91.666666666666657</v>
      </c>
      <c r="G23" s="578"/>
      <c r="H23" s="577"/>
      <c r="I23" s="578">
        <v>2</v>
      </c>
      <c r="J23" s="577">
        <f t="shared" si="23"/>
        <v>8.3333333333333321</v>
      </c>
      <c r="K23" s="578">
        <f t="shared" si="27"/>
        <v>24</v>
      </c>
      <c r="L23" s="592"/>
      <c r="M23" s="576">
        <v>1</v>
      </c>
      <c r="N23" s="577">
        <f>M23/E23*100</f>
        <v>4.5454545454545459</v>
      </c>
      <c r="O23" s="578"/>
      <c r="P23" s="577"/>
      <c r="Q23" s="578">
        <v>2</v>
      </c>
      <c r="R23" s="580">
        <f>Q23/I23*100</f>
        <v>100</v>
      </c>
      <c r="S23" s="578">
        <f t="shared" si="6"/>
        <v>3</v>
      </c>
      <c r="T23" s="581">
        <f>S23/K23*100</f>
        <v>12.5</v>
      </c>
    </row>
    <row r="24" spans="1:20" ht="19.149999999999999" customHeight="1">
      <c r="A24" s="585" t="s">
        <v>45</v>
      </c>
      <c r="B24" s="589"/>
      <c r="C24" s="590"/>
      <c r="D24" s="591"/>
      <c r="E24" s="576">
        <v>16</v>
      </c>
      <c r="F24" s="577">
        <f t="shared" si="11"/>
        <v>84.210526315789465</v>
      </c>
      <c r="G24" s="578"/>
      <c r="H24" s="577"/>
      <c r="I24" s="578">
        <v>3</v>
      </c>
      <c r="J24" s="577">
        <f t="shared" si="23"/>
        <v>15.789473684210526</v>
      </c>
      <c r="K24" s="578">
        <f t="shared" si="27"/>
        <v>19</v>
      </c>
      <c r="L24" s="581"/>
      <c r="M24" s="576"/>
      <c r="N24" s="577"/>
      <c r="O24" s="578"/>
      <c r="P24" s="577"/>
      <c r="Q24" s="578"/>
      <c r="R24" s="580"/>
      <c r="S24" s="578"/>
      <c r="T24" s="581"/>
    </row>
    <row r="25" spans="1:20" ht="19.149999999999999" customHeight="1">
      <c r="A25" s="585" t="s">
        <v>46</v>
      </c>
      <c r="B25" s="589"/>
      <c r="C25" s="590"/>
      <c r="D25" s="591"/>
      <c r="E25" s="576">
        <v>20</v>
      </c>
      <c r="F25" s="577">
        <f t="shared" si="11"/>
        <v>86.956521739130437</v>
      </c>
      <c r="G25" s="578"/>
      <c r="H25" s="577"/>
      <c r="I25" s="578">
        <v>3</v>
      </c>
      <c r="J25" s="577">
        <f t="shared" si="23"/>
        <v>13.043478260869565</v>
      </c>
      <c r="K25" s="578">
        <f t="shared" si="27"/>
        <v>23</v>
      </c>
      <c r="L25" s="581"/>
      <c r="M25" s="576"/>
      <c r="N25" s="577"/>
      <c r="O25" s="578"/>
      <c r="P25" s="577"/>
      <c r="Q25" s="578"/>
      <c r="R25" s="580"/>
      <c r="S25" s="578"/>
      <c r="T25" s="581"/>
    </row>
    <row r="26" spans="1:20" ht="19.149999999999999" customHeight="1">
      <c r="A26" s="585" t="s">
        <v>47</v>
      </c>
      <c r="B26" s="589"/>
      <c r="C26" s="590"/>
      <c r="D26" s="591"/>
      <c r="E26" s="576">
        <v>22</v>
      </c>
      <c r="F26" s="577">
        <f t="shared" si="11"/>
        <v>88</v>
      </c>
      <c r="G26" s="578"/>
      <c r="H26" s="577"/>
      <c r="I26" s="578">
        <v>3</v>
      </c>
      <c r="J26" s="577">
        <f t="shared" si="23"/>
        <v>12</v>
      </c>
      <c r="K26" s="578">
        <f t="shared" si="27"/>
        <v>25</v>
      </c>
      <c r="L26" s="581"/>
      <c r="M26" s="576"/>
      <c r="N26" s="577"/>
      <c r="O26" s="578"/>
      <c r="P26" s="577"/>
      <c r="Q26" s="578"/>
      <c r="R26" s="580"/>
      <c r="S26" s="578"/>
      <c r="T26" s="581"/>
    </row>
    <row r="27" spans="1:20" ht="19.149999999999999" customHeight="1">
      <c r="A27" s="585" t="s">
        <v>48</v>
      </c>
      <c r="B27" s="589"/>
      <c r="C27" s="590"/>
      <c r="D27" s="591"/>
      <c r="E27" s="576">
        <v>12</v>
      </c>
      <c r="F27" s="577">
        <f t="shared" si="11"/>
        <v>80</v>
      </c>
      <c r="G27" s="578"/>
      <c r="H27" s="577"/>
      <c r="I27" s="578">
        <v>3</v>
      </c>
      <c r="J27" s="577">
        <f t="shared" si="23"/>
        <v>20</v>
      </c>
      <c r="K27" s="578">
        <f t="shared" si="27"/>
        <v>15</v>
      </c>
      <c r="L27" s="581"/>
      <c r="M27" s="576"/>
      <c r="N27" s="577"/>
      <c r="O27" s="578"/>
      <c r="P27" s="577"/>
      <c r="Q27" s="578"/>
      <c r="R27" s="580"/>
      <c r="S27" s="578"/>
      <c r="T27" s="581"/>
    </row>
    <row r="28" spans="1:20" ht="19.149999999999999" customHeight="1">
      <c r="A28" s="593" t="s">
        <v>49</v>
      </c>
      <c r="B28" s="589"/>
      <c r="C28" s="590"/>
      <c r="D28" s="591"/>
      <c r="E28" s="563">
        <v>27</v>
      </c>
      <c r="F28" s="564">
        <f t="shared" si="11"/>
        <v>84.375</v>
      </c>
      <c r="G28" s="565"/>
      <c r="H28" s="564"/>
      <c r="I28" s="565">
        <v>5</v>
      </c>
      <c r="J28" s="564">
        <f t="shared" si="23"/>
        <v>15.625</v>
      </c>
      <c r="K28" s="565">
        <f t="shared" si="27"/>
        <v>32</v>
      </c>
      <c r="L28" s="568"/>
      <c r="M28" s="563">
        <v>1</v>
      </c>
      <c r="N28" s="564">
        <f>M28/E28*100</f>
        <v>3.7037037037037033</v>
      </c>
      <c r="O28" s="565"/>
      <c r="P28" s="564"/>
      <c r="Q28" s="565"/>
      <c r="R28" s="594"/>
      <c r="S28" s="565">
        <f t="shared" si="6"/>
        <v>1</v>
      </c>
      <c r="T28" s="568">
        <f>S28/K28*100</f>
        <v>3.125</v>
      </c>
    </row>
    <row r="29" spans="1:20" ht="19.149999999999999" customHeight="1">
      <c r="A29" s="585" t="s">
        <v>50</v>
      </c>
      <c r="B29" s="589"/>
      <c r="C29" s="590"/>
      <c r="D29" s="591"/>
      <c r="E29" s="576">
        <v>10</v>
      </c>
      <c r="F29" s="577">
        <f t="shared" si="11"/>
        <v>66.666666666666657</v>
      </c>
      <c r="G29" s="578"/>
      <c r="H29" s="577"/>
      <c r="I29" s="578">
        <v>5</v>
      </c>
      <c r="J29" s="577">
        <f t="shared" si="23"/>
        <v>33.333333333333329</v>
      </c>
      <c r="K29" s="578">
        <f t="shared" si="27"/>
        <v>15</v>
      </c>
      <c r="L29" s="581"/>
      <c r="M29" s="576">
        <v>1</v>
      </c>
      <c r="N29" s="577">
        <f>M29/E29*100</f>
        <v>10</v>
      </c>
      <c r="O29" s="578"/>
      <c r="P29" s="577"/>
      <c r="Q29" s="578">
        <v>1</v>
      </c>
      <c r="R29" s="580">
        <f>Q29/I29*100</f>
        <v>20</v>
      </c>
      <c r="S29" s="578">
        <f t="shared" si="6"/>
        <v>2</v>
      </c>
      <c r="T29" s="581">
        <f>S29/K29*100</f>
        <v>13.333333333333334</v>
      </c>
    </row>
    <row r="30" spans="1:20" ht="19.149999999999999" customHeight="1">
      <c r="A30" s="595" t="s">
        <v>51</v>
      </c>
      <c r="B30" s="589"/>
      <c r="C30" s="590"/>
      <c r="D30" s="591"/>
      <c r="E30" s="567">
        <v>20</v>
      </c>
      <c r="F30" s="508">
        <f t="shared" si="11"/>
        <v>74.074074074074076</v>
      </c>
      <c r="G30" s="507"/>
      <c r="H30" s="508"/>
      <c r="I30" s="507">
        <v>7</v>
      </c>
      <c r="J30" s="508">
        <f t="shared" si="23"/>
        <v>25.925925925925924</v>
      </c>
      <c r="K30" s="507">
        <f t="shared" si="27"/>
        <v>27</v>
      </c>
      <c r="L30" s="511"/>
      <c r="M30" s="567"/>
      <c r="N30" s="508"/>
      <c r="O30" s="507"/>
      <c r="P30" s="508"/>
      <c r="Q30" s="507"/>
      <c r="R30" s="506"/>
      <c r="S30" s="507"/>
      <c r="T30" s="511"/>
    </row>
    <row r="31" spans="1:20" ht="19.149999999999999" customHeight="1">
      <c r="A31" s="585" t="s">
        <v>52</v>
      </c>
      <c r="B31" s="589"/>
      <c r="C31" s="590"/>
      <c r="D31" s="591"/>
      <c r="E31" s="576">
        <v>29</v>
      </c>
      <c r="F31" s="577">
        <f t="shared" si="11"/>
        <v>90.625</v>
      </c>
      <c r="G31" s="578"/>
      <c r="H31" s="577"/>
      <c r="I31" s="578">
        <v>3</v>
      </c>
      <c r="J31" s="577">
        <f t="shared" si="23"/>
        <v>9.375</v>
      </c>
      <c r="K31" s="578">
        <f t="shared" si="27"/>
        <v>32</v>
      </c>
      <c r="L31" s="581"/>
      <c r="M31" s="576">
        <v>1</v>
      </c>
      <c r="N31" s="577">
        <f>M31/E31*100</f>
        <v>3.4482758620689653</v>
      </c>
      <c r="O31" s="578"/>
      <c r="P31" s="577"/>
      <c r="Q31" s="578"/>
      <c r="R31" s="580"/>
      <c r="S31" s="578">
        <f t="shared" si="6"/>
        <v>1</v>
      </c>
      <c r="T31" s="581">
        <f>S31/K31*100</f>
        <v>3.125</v>
      </c>
    </row>
    <row r="32" spans="1:20" ht="19.149999999999999" customHeight="1">
      <c r="A32" s="585" t="s">
        <v>53</v>
      </c>
      <c r="B32" s="589"/>
      <c r="C32" s="590"/>
      <c r="D32" s="591"/>
      <c r="E32" s="576">
        <v>27</v>
      </c>
      <c r="F32" s="577">
        <f t="shared" si="11"/>
        <v>90</v>
      </c>
      <c r="G32" s="578"/>
      <c r="H32" s="577"/>
      <c r="I32" s="578">
        <v>3</v>
      </c>
      <c r="J32" s="577">
        <f t="shared" si="23"/>
        <v>10</v>
      </c>
      <c r="K32" s="578">
        <f t="shared" si="27"/>
        <v>30</v>
      </c>
      <c r="L32" s="581"/>
      <c r="M32" s="576"/>
      <c r="N32" s="577"/>
      <c r="O32" s="578"/>
      <c r="P32" s="577"/>
      <c r="Q32" s="578"/>
      <c r="R32" s="580"/>
      <c r="S32" s="578"/>
      <c r="T32" s="581"/>
    </row>
    <row r="33" spans="1:20" ht="19.149999999999999" customHeight="1" thickBot="1">
      <c r="A33" s="828" t="s">
        <v>54</v>
      </c>
      <c r="B33" s="485"/>
      <c r="C33" s="486"/>
      <c r="D33" s="487"/>
      <c r="E33" s="853">
        <v>25</v>
      </c>
      <c r="F33" s="854">
        <f t="shared" si="11"/>
        <v>89.285714285714292</v>
      </c>
      <c r="G33" s="855"/>
      <c r="H33" s="854"/>
      <c r="I33" s="855">
        <v>3</v>
      </c>
      <c r="J33" s="854">
        <f t="shared" si="23"/>
        <v>10.714285714285714</v>
      </c>
      <c r="K33" s="855">
        <f t="shared" si="27"/>
        <v>28</v>
      </c>
      <c r="L33" s="856"/>
      <c r="M33" s="853"/>
      <c r="N33" s="854"/>
      <c r="O33" s="855"/>
      <c r="P33" s="854"/>
      <c r="Q33" s="855"/>
      <c r="R33" s="857"/>
      <c r="S33" s="855"/>
      <c r="T33" s="856"/>
    </row>
    <row r="34" spans="1:20" ht="19.149999999999999" customHeight="1">
      <c r="A34" s="852" t="s">
        <v>55</v>
      </c>
      <c r="B34" s="589"/>
      <c r="C34" s="590"/>
      <c r="D34" s="591"/>
      <c r="E34" s="567">
        <v>10</v>
      </c>
      <c r="F34" s="508">
        <f t="shared" si="11"/>
        <v>90.909090909090907</v>
      </c>
      <c r="G34" s="507"/>
      <c r="H34" s="508"/>
      <c r="I34" s="507">
        <v>1</v>
      </c>
      <c r="J34" s="508">
        <f t="shared" si="23"/>
        <v>9.0909090909090917</v>
      </c>
      <c r="K34" s="507">
        <f t="shared" si="27"/>
        <v>11</v>
      </c>
      <c r="L34" s="511"/>
      <c r="M34" s="567"/>
      <c r="N34" s="508"/>
      <c r="O34" s="507"/>
      <c r="P34" s="508"/>
      <c r="Q34" s="507"/>
      <c r="R34" s="506"/>
      <c r="S34" s="507"/>
      <c r="T34" s="511"/>
    </row>
    <row r="35" spans="1:20" ht="19.149999999999999" customHeight="1">
      <c r="A35" s="585" t="s">
        <v>56</v>
      </c>
      <c r="B35" s="589"/>
      <c r="C35" s="590"/>
      <c r="D35" s="591"/>
      <c r="E35" s="576">
        <v>18</v>
      </c>
      <c r="F35" s="577">
        <f t="shared" si="11"/>
        <v>75</v>
      </c>
      <c r="G35" s="578"/>
      <c r="H35" s="577"/>
      <c r="I35" s="578">
        <v>6</v>
      </c>
      <c r="J35" s="577">
        <f t="shared" si="23"/>
        <v>25</v>
      </c>
      <c r="K35" s="578">
        <f t="shared" si="27"/>
        <v>24</v>
      </c>
      <c r="L35" s="581"/>
      <c r="M35" s="576">
        <v>2</v>
      </c>
      <c r="N35" s="577">
        <f>M35/E35*100</f>
        <v>11.111111111111111</v>
      </c>
      <c r="O35" s="578"/>
      <c r="P35" s="577"/>
      <c r="Q35" s="578"/>
      <c r="R35" s="580"/>
      <c r="S35" s="578">
        <f t="shared" si="6"/>
        <v>2</v>
      </c>
      <c r="T35" s="581">
        <f>S35/K35*100</f>
        <v>8.3333333333333321</v>
      </c>
    </row>
    <row r="36" spans="1:20" ht="19.149999999999999" customHeight="1">
      <c r="A36" s="585" t="s">
        <v>57</v>
      </c>
      <c r="B36" s="589"/>
      <c r="C36" s="590"/>
      <c r="D36" s="591"/>
      <c r="E36" s="576">
        <v>19</v>
      </c>
      <c r="F36" s="577">
        <f t="shared" si="11"/>
        <v>86.36363636363636</v>
      </c>
      <c r="G36" s="578"/>
      <c r="H36" s="577"/>
      <c r="I36" s="578">
        <v>3</v>
      </c>
      <c r="J36" s="577">
        <f t="shared" si="23"/>
        <v>13.636363636363635</v>
      </c>
      <c r="K36" s="578">
        <f t="shared" si="27"/>
        <v>22</v>
      </c>
      <c r="L36" s="581"/>
      <c r="M36" s="576"/>
      <c r="N36" s="577"/>
      <c r="O36" s="578"/>
      <c r="P36" s="577"/>
      <c r="Q36" s="578"/>
      <c r="R36" s="580"/>
      <c r="S36" s="578"/>
      <c r="T36" s="581"/>
    </row>
    <row r="37" spans="1:20" ht="19.149999999999999" customHeight="1">
      <c r="A37" s="585" t="s">
        <v>58</v>
      </c>
      <c r="B37" s="589"/>
      <c r="C37" s="590"/>
      <c r="D37" s="591"/>
      <c r="E37" s="576">
        <v>19</v>
      </c>
      <c r="F37" s="577">
        <f t="shared" si="11"/>
        <v>79.166666666666657</v>
      </c>
      <c r="G37" s="578"/>
      <c r="H37" s="577"/>
      <c r="I37" s="578">
        <v>5</v>
      </c>
      <c r="J37" s="577">
        <f t="shared" si="23"/>
        <v>20.833333333333336</v>
      </c>
      <c r="K37" s="578">
        <f t="shared" si="27"/>
        <v>24</v>
      </c>
      <c r="L37" s="581"/>
      <c r="M37" s="576"/>
      <c r="N37" s="577"/>
      <c r="O37" s="578"/>
      <c r="P37" s="577"/>
      <c r="Q37" s="578"/>
      <c r="R37" s="580"/>
      <c r="S37" s="578"/>
      <c r="T37" s="581"/>
    </row>
    <row r="38" spans="1:20" ht="19.149999999999999" customHeight="1">
      <c r="A38" s="585" t="s">
        <v>59</v>
      </c>
      <c r="B38" s="589"/>
      <c r="C38" s="590"/>
      <c r="D38" s="591"/>
      <c r="E38" s="576">
        <v>20</v>
      </c>
      <c r="F38" s="577">
        <f t="shared" si="11"/>
        <v>95.238095238095227</v>
      </c>
      <c r="G38" s="578"/>
      <c r="H38" s="577"/>
      <c r="I38" s="578">
        <v>1</v>
      </c>
      <c r="J38" s="577">
        <f t="shared" si="23"/>
        <v>4.7619047619047619</v>
      </c>
      <c r="K38" s="578">
        <f t="shared" si="27"/>
        <v>21</v>
      </c>
      <c r="L38" s="581"/>
      <c r="M38" s="576">
        <v>1</v>
      </c>
      <c r="N38" s="577">
        <f>M38/E38*100</f>
        <v>5</v>
      </c>
      <c r="O38" s="578"/>
      <c r="P38" s="577"/>
      <c r="Q38" s="578"/>
      <c r="R38" s="580"/>
      <c r="S38" s="578">
        <f t="shared" si="6"/>
        <v>1</v>
      </c>
      <c r="T38" s="581">
        <f>S38/K38*100</f>
        <v>4.7619047619047619</v>
      </c>
    </row>
    <row r="39" spans="1:20" ht="19.149999999999999" customHeight="1">
      <c r="A39" s="585" t="s">
        <v>60</v>
      </c>
      <c r="B39" s="589"/>
      <c r="C39" s="590"/>
      <c r="D39" s="591"/>
      <c r="E39" s="576">
        <v>34</v>
      </c>
      <c r="F39" s="577">
        <f t="shared" si="11"/>
        <v>94.444444444444443</v>
      </c>
      <c r="G39" s="578"/>
      <c r="H39" s="577"/>
      <c r="I39" s="578">
        <v>2</v>
      </c>
      <c r="J39" s="577">
        <f t="shared" si="23"/>
        <v>5.5555555555555554</v>
      </c>
      <c r="K39" s="578">
        <f t="shared" si="27"/>
        <v>36</v>
      </c>
      <c r="L39" s="581"/>
      <c r="M39" s="576"/>
      <c r="N39" s="577"/>
      <c r="O39" s="578"/>
      <c r="P39" s="577"/>
      <c r="Q39" s="578"/>
      <c r="R39" s="580"/>
      <c r="S39" s="578"/>
      <c r="T39" s="581"/>
    </row>
    <row r="40" spans="1:20" ht="19.149999999999999" customHeight="1">
      <c r="A40" s="585" t="s">
        <v>61</v>
      </c>
      <c r="B40" s="589"/>
      <c r="C40" s="590"/>
      <c r="D40" s="591"/>
      <c r="E40" s="576"/>
      <c r="F40" s="577"/>
      <c r="G40" s="578"/>
      <c r="H40" s="577"/>
      <c r="I40" s="578">
        <v>106</v>
      </c>
      <c r="J40" s="577">
        <f t="shared" si="23"/>
        <v>100</v>
      </c>
      <c r="K40" s="578">
        <f t="shared" si="27"/>
        <v>106</v>
      </c>
      <c r="L40" s="581"/>
      <c r="M40" s="576"/>
      <c r="N40" s="577"/>
      <c r="O40" s="578"/>
      <c r="P40" s="577"/>
      <c r="Q40" s="578">
        <v>30</v>
      </c>
      <c r="R40" s="580">
        <f>Q40/I40*100</f>
        <v>28.30188679245283</v>
      </c>
      <c r="S40" s="578">
        <f t="shared" si="6"/>
        <v>30</v>
      </c>
      <c r="T40" s="581">
        <f>S40/K40*100</f>
        <v>28.30188679245283</v>
      </c>
    </row>
    <row r="41" spans="1:20" ht="19.149999999999999" customHeight="1">
      <c r="A41" s="585" t="s">
        <v>62</v>
      </c>
      <c r="B41" s="589"/>
      <c r="C41" s="590"/>
      <c r="D41" s="591"/>
      <c r="E41" s="576">
        <v>15</v>
      </c>
      <c r="F41" s="577">
        <f>E41/K41*100</f>
        <v>78.94736842105263</v>
      </c>
      <c r="G41" s="578"/>
      <c r="H41" s="577"/>
      <c r="I41" s="578">
        <v>4</v>
      </c>
      <c r="J41" s="577">
        <f t="shared" si="23"/>
        <v>21.052631578947366</v>
      </c>
      <c r="K41" s="578">
        <f t="shared" si="27"/>
        <v>19</v>
      </c>
      <c r="L41" s="581"/>
      <c r="M41" s="576"/>
      <c r="N41" s="577"/>
      <c r="O41" s="578"/>
      <c r="P41" s="577"/>
      <c r="Q41" s="578"/>
      <c r="R41" s="580"/>
      <c r="S41" s="578"/>
      <c r="T41" s="581"/>
    </row>
    <row r="42" spans="1:20" ht="19.149999999999999" customHeight="1">
      <c r="A42" s="585" t="s">
        <v>63</v>
      </c>
      <c r="B42" s="589"/>
      <c r="C42" s="590"/>
      <c r="D42" s="591"/>
      <c r="E42" s="576">
        <v>19</v>
      </c>
      <c r="F42" s="577">
        <f>E42/K42*100</f>
        <v>86.36363636363636</v>
      </c>
      <c r="G42" s="578"/>
      <c r="H42" s="577"/>
      <c r="I42" s="578">
        <v>3</v>
      </c>
      <c r="J42" s="577">
        <f t="shared" si="23"/>
        <v>13.636363636363635</v>
      </c>
      <c r="K42" s="578">
        <f t="shared" si="27"/>
        <v>22</v>
      </c>
      <c r="L42" s="581"/>
      <c r="M42" s="576"/>
      <c r="N42" s="577"/>
      <c r="O42" s="578"/>
      <c r="P42" s="577"/>
      <c r="Q42" s="578"/>
      <c r="R42" s="580"/>
      <c r="S42" s="578"/>
      <c r="T42" s="581"/>
    </row>
    <row r="43" spans="1:20" ht="19.149999999999999" customHeight="1" thickBot="1">
      <c r="A43" s="585" t="s">
        <v>64</v>
      </c>
      <c r="B43" s="589"/>
      <c r="C43" s="590"/>
      <c r="D43" s="599"/>
      <c r="E43" s="567">
        <v>8</v>
      </c>
      <c r="F43" s="508">
        <f>E43/K43*100</f>
        <v>100</v>
      </c>
      <c r="G43" s="507"/>
      <c r="H43" s="508"/>
      <c r="I43" s="507"/>
      <c r="J43" s="508"/>
      <c r="K43" s="507">
        <f t="shared" si="27"/>
        <v>8</v>
      </c>
      <c r="L43" s="511"/>
      <c r="M43" s="567"/>
      <c r="N43" s="508"/>
      <c r="O43" s="507"/>
      <c r="P43" s="508"/>
      <c r="Q43" s="507"/>
      <c r="R43" s="506"/>
      <c r="S43" s="507"/>
      <c r="T43" s="511"/>
    </row>
    <row r="44" spans="1:20" ht="19.149999999999999" customHeight="1">
      <c r="A44" s="496" t="s">
        <v>66</v>
      </c>
      <c r="B44" s="294">
        <f>SUM(B45:B46)</f>
        <v>8655</v>
      </c>
      <c r="C44" s="295">
        <f>SUM(C45:C46)</f>
        <v>260</v>
      </c>
      <c r="D44" s="296">
        <f>SUM(D45:D46)</f>
        <v>309</v>
      </c>
      <c r="E44" s="165">
        <f>SUM(E45:E46)</f>
        <v>153</v>
      </c>
      <c r="F44" s="233">
        <f>E44/K44*100</f>
        <v>54.44839857651246</v>
      </c>
      <c r="G44" s="169">
        <f>SUM(G45:G46)</f>
        <v>39</v>
      </c>
      <c r="H44" s="600">
        <f>G44/K44*100</f>
        <v>13.87900355871886</v>
      </c>
      <c r="I44" s="167">
        <f>SUM(I45:I46)</f>
        <v>89</v>
      </c>
      <c r="J44" s="237">
        <f t="shared" ref="J44:J51" si="28">I44/K44*100</f>
        <v>31.672597864768683</v>
      </c>
      <c r="K44" s="167">
        <f>SUM(K45:K46)</f>
        <v>281</v>
      </c>
      <c r="L44" s="233">
        <f t="shared" ref="L44:L46" si="29">+K44/D44*100</f>
        <v>90.938511326860834</v>
      </c>
      <c r="M44" s="165">
        <f>SUM(M45:M46)</f>
        <v>5</v>
      </c>
      <c r="N44" s="545">
        <f>M44/E44*100</f>
        <v>3.2679738562091507</v>
      </c>
      <c r="O44" s="169">
        <f>SUM(O45:O46)</f>
        <v>3</v>
      </c>
      <c r="P44" s="272">
        <f>O44/G44*100</f>
        <v>7.6923076923076925</v>
      </c>
      <c r="Q44" s="273">
        <f>SUM(Q45:Q46)</f>
        <v>1</v>
      </c>
      <c r="R44" s="601">
        <f>Q44/I44*100</f>
        <v>1.1235955056179776</v>
      </c>
      <c r="S44" s="273">
        <f>SUM(S45:S46)</f>
        <v>9</v>
      </c>
      <c r="T44" s="274">
        <f>S44/K44*100</f>
        <v>3.2028469750889679</v>
      </c>
    </row>
    <row r="45" spans="1:20" ht="19.149999999999999" customHeight="1">
      <c r="A45" s="569" t="s">
        <v>67</v>
      </c>
      <c r="B45" s="602">
        <f>1010</f>
        <v>1010</v>
      </c>
      <c r="C45" s="603">
        <v>80</v>
      </c>
      <c r="D45" s="604">
        <f>77+3</f>
        <v>80</v>
      </c>
      <c r="E45" s="554">
        <v>0</v>
      </c>
      <c r="F45" s="555">
        <v>0</v>
      </c>
      <c r="G45" s="556">
        <v>0</v>
      </c>
      <c r="H45" s="555">
        <v>0</v>
      </c>
      <c r="I45" s="556">
        <v>80</v>
      </c>
      <c r="J45" s="555">
        <f t="shared" si="28"/>
        <v>100</v>
      </c>
      <c r="K45" s="556">
        <f t="shared" ref="K45:K49" si="30">SUM(I45,E45,G45)</f>
        <v>80</v>
      </c>
      <c r="L45" s="605">
        <f t="shared" si="29"/>
        <v>100</v>
      </c>
      <c r="M45" s="554">
        <v>0</v>
      </c>
      <c r="N45" s="555">
        <v>0</v>
      </c>
      <c r="O45" s="556">
        <v>0</v>
      </c>
      <c r="P45" s="555">
        <v>0</v>
      </c>
      <c r="Q45" s="556">
        <v>0</v>
      </c>
      <c r="R45" s="557">
        <v>0</v>
      </c>
      <c r="S45" s="556">
        <v>0</v>
      </c>
      <c r="T45" s="588">
        <v>0</v>
      </c>
    </row>
    <row r="46" spans="1:20" ht="19.149999999999999" customHeight="1">
      <c r="A46" s="572" t="s">
        <v>68</v>
      </c>
      <c r="B46" s="606">
        <f>SUM(B47:B49)</f>
        <v>7645</v>
      </c>
      <c r="C46" s="607">
        <f>SUM(C47:C49)</f>
        <v>180</v>
      </c>
      <c r="D46" s="608">
        <f>SUM(D47:D49)</f>
        <v>229</v>
      </c>
      <c r="E46" s="323">
        <f>SUM(E47:E49)</f>
        <v>153</v>
      </c>
      <c r="F46" s="609">
        <f>E46/K46*100</f>
        <v>76.119402985074629</v>
      </c>
      <c r="G46" s="610">
        <f>SUM(G47:G49)</f>
        <v>39</v>
      </c>
      <c r="H46" s="611">
        <f>G46/K46*100</f>
        <v>19.402985074626866</v>
      </c>
      <c r="I46" s="612">
        <f>SUM(I47:I49)</f>
        <v>9</v>
      </c>
      <c r="J46" s="613">
        <f t="shared" si="28"/>
        <v>4.4776119402985071</v>
      </c>
      <c r="K46" s="327">
        <f>SUM(K47:K49)</f>
        <v>201</v>
      </c>
      <c r="L46" s="609">
        <f t="shared" si="29"/>
        <v>87.772925764192138</v>
      </c>
      <c r="M46" s="323">
        <f>SUM(M47:M49)</f>
        <v>5</v>
      </c>
      <c r="N46" s="614">
        <f>M46/E46*100</f>
        <v>3.2679738562091507</v>
      </c>
      <c r="O46" s="325">
        <f>SUM(O47:O49)</f>
        <v>3</v>
      </c>
      <c r="P46" s="613">
        <f>O46/G46*100</f>
        <v>7.6923076923076925</v>
      </c>
      <c r="Q46" s="325">
        <f>SUM(Q47:Q49)</f>
        <v>1</v>
      </c>
      <c r="R46" s="580">
        <f>Q46/I46*100</f>
        <v>11.111111111111111</v>
      </c>
      <c r="S46" s="325">
        <f>SUM(S47:S49)</f>
        <v>9</v>
      </c>
      <c r="T46" s="587">
        <f>S46/K46*100</f>
        <v>4.4776119402985071</v>
      </c>
    </row>
    <row r="47" spans="1:20" ht="19.149999999999999" customHeight="1">
      <c r="A47" s="61" t="s">
        <v>69</v>
      </c>
      <c r="B47" s="533">
        <f>7508+2+50+3+2+80</f>
        <v>7645</v>
      </c>
      <c r="C47" s="534">
        <v>180</v>
      </c>
      <c r="D47" s="535">
        <f>175+6+1+3+44</f>
        <v>229</v>
      </c>
      <c r="E47" s="525">
        <v>153</v>
      </c>
      <c r="F47" s="526">
        <f>E47/K47*100</f>
        <v>78.461538461538467</v>
      </c>
      <c r="G47" s="527">
        <v>39</v>
      </c>
      <c r="H47" s="526">
        <f>G47/K47*100</f>
        <v>20</v>
      </c>
      <c r="I47" s="527">
        <v>3</v>
      </c>
      <c r="J47" s="526">
        <f t="shared" si="28"/>
        <v>1.5384615384615385</v>
      </c>
      <c r="K47" s="527">
        <f t="shared" si="30"/>
        <v>195</v>
      </c>
      <c r="L47" s="531"/>
      <c r="M47" s="525">
        <v>5</v>
      </c>
      <c r="N47" s="526">
        <f>M47/E47*100</f>
        <v>3.2679738562091507</v>
      </c>
      <c r="O47" s="527">
        <v>3</v>
      </c>
      <c r="P47" s="526">
        <f>O47/G47*100</f>
        <v>7.6923076923076925</v>
      </c>
      <c r="Q47" s="527">
        <v>1</v>
      </c>
      <c r="R47" s="532">
        <f>Q47/I47*100</f>
        <v>33.333333333333329</v>
      </c>
      <c r="S47" s="527">
        <f t="shared" si="6"/>
        <v>9</v>
      </c>
      <c r="T47" s="531">
        <f>S47/K47*100</f>
        <v>4.6153846153846159</v>
      </c>
    </row>
    <row r="48" spans="1:20" ht="19.149999999999999" customHeight="1">
      <c r="A48" s="61" t="s">
        <v>70</v>
      </c>
      <c r="B48" s="133"/>
      <c r="C48" s="134"/>
      <c r="D48" s="615"/>
      <c r="E48" s="525"/>
      <c r="F48" s="526"/>
      <c r="G48" s="527"/>
      <c r="H48" s="526"/>
      <c r="I48" s="527">
        <v>4</v>
      </c>
      <c r="J48" s="526">
        <f t="shared" si="28"/>
        <v>100</v>
      </c>
      <c r="K48" s="527">
        <f t="shared" si="30"/>
        <v>4</v>
      </c>
      <c r="L48" s="531"/>
      <c r="M48" s="525"/>
      <c r="N48" s="526"/>
      <c r="O48" s="527"/>
      <c r="P48" s="526"/>
      <c r="Q48" s="527"/>
      <c r="R48" s="532"/>
      <c r="S48" s="527"/>
      <c r="T48" s="531"/>
    </row>
    <row r="49" spans="1:21" ht="19.149999999999999" customHeight="1" thickBot="1">
      <c r="A49" s="62" t="s">
        <v>71</v>
      </c>
      <c r="B49" s="528"/>
      <c r="C49" s="529"/>
      <c r="D49" s="530"/>
      <c r="E49" s="525"/>
      <c r="F49" s="526"/>
      <c r="G49" s="527"/>
      <c r="H49" s="526"/>
      <c r="I49" s="527">
        <v>2</v>
      </c>
      <c r="J49" s="526">
        <f t="shared" si="28"/>
        <v>100</v>
      </c>
      <c r="K49" s="527">
        <f t="shared" si="30"/>
        <v>2</v>
      </c>
      <c r="L49" s="531"/>
      <c r="M49" s="525"/>
      <c r="N49" s="526"/>
      <c r="O49" s="527"/>
      <c r="P49" s="526"/>
      <c r="Q49" s="527"/>
      <c r="R49" s="616"/>
      <c r="S49" s="527"/>
      <c r="T49" s="531"/>
    </row>
    <row r="50" spans="1:21" ht="19.149999999999999" customHeight="1">
      <c r="A50" s="496" t="s">
        <v>72</v>
      </c>
      <c r="B50" s="498">
        <f>SUM(B51)</f>
        <v>1098</v>
      </c>
      <c r="C50" s="498">
        <f>SUM(C51)</f>
        <v>48</v>
      </c>
      <c r="D50" s="498">
        <f>SUM(D51)</f>
        <v>47</v>
      </c>
      <c r="E50" s="267">
        <v>0</v>
      </c>
      <c r="F50" s="270">
        <v>0</v>
      </c>
      <c r="G50" s="273">
        <v>0</v>
      </c>
      <c r="H50" s="272">
        <v>0</v>
      </c>
      <c r="I50" s="271">
        <f>SUM(I51)</f>
        <v>46</v>
      </c>
      <c r="J50" s="272">
        <f t="shared" si="28"/>
        <v>100</v>
      </c>
      <c r="K50" s="273">
        <f>SUM(I50,E50,G50)</f>
        <v>46</v>
      </c>
      <c r="L50" s="233">
        <f t="shared" ref="L50:L51" si="31">+K50/D50*100</f>
        <v>97.872340425531917</v>
      </c>
      <c r="M50" s="267">
        <v>0</v>
      </c>
      <c r="N50" s="270">
        <v>0</v>
      </c>
      <c r="O50" s="273">
        <v>0</v>
      </c>
      <c r="P50" s="272">
        <v>0</v>
      </c>
      <c r="Q50" s="271">
        <f>SUM(Q51)</f>
        <v>1</v>
      </c>
      <c r="R50" s="617">
        <f>Q50/I50*100</f>
        <v>2.1739130434782608</v>
      </c>
      <c r="S50" s="273">
        <f t="shared" ref="S50" si="32">SUM(M50,O50,Q50)</f>
        <v>1</v>
      </c>
      <c r="T50" s="618">
        <f>S50/K50*100</f>
        <v>2.1739130434782608</v>
      </c>
    </row>
    <row r="51" spans="1:21" ht="19.149999999999999" customHeight="1" thickBot="1">
      <c r="A51" s="619" t="s">
        <v>73</v>
      </c>
      <c r="B51" s="620">
        <f>1098</f>
        <v>1098</v>
      </c>
      <c r="C51" s="621">
        <v>48</v>
      </c>
      <c r="D51" s="622">
        <f>44+3</f>
        <v>47</v>
      </c>
      <c r="E51" s="350">
        <v>0</v>
      </c>
      <c r="F51" s="623">
        <v>0</v>
      </c>
      <c r="G51" s="354">
        <v>0</v>
      </c>
      <c r="H51" s="624">
        <v>0</v>
      </c>
      <c r="I51" s="625">
        <v>46</v>
      </c>
      <c r="J51" s="626">
        <f t="shared" si="28"/>
        <v>100</v>
      </c>
      <c r="K51" s="625">
        <f>SUM(I51,E51,G51)</f>
        <v>46</v>
      </c>
      <c r="L51" s="627">
        <f t="shared" si="31"/>
        <v>97.872340425531917</v>
      </c>
      <c r="M51" s="350">
        <v>0</v>
      </c>
      <c r="N51" s="623">
        <v>0</v>
      </c>
      <c r="O51" s="354">
        <v>0</v>
      </c>
      <c r="P51" s="624">
        <v>0</v>
      </c>
      <c r="Q51" s="625">
        <v>1</v>
      </c>
      <c r="R51" s="628">
        <f>Q51/I51*100</f>
        <v>2.1739130434782608</v>
      </c>
      <c r="S51" s="625">
        <f t="shared" si="6"/>
        <v>1</v>
      </c>
      <c r="T51" s="629">
        <f>S51/K51*100</f>
        <v>2.1739130434782608</v>
      </c>
    </row>
    <row r="52" spans="1:21" ht="19.149999999999999" customHeight="1">
      <c r="A52" s="496" t="s">
        <v>74</v>
      </c>
      <c r="B52" s="497"/>
      <c r="C52" s="498"/>
      <c r="D52" s="499"/>
      <c r="E52" s="630"/>
      <c r="F52" s="631"/>
      <c r="G52" s="632"/>
      <c r="H52" s="631"/>
      <c r="I52" s="632"/>
      <c r="J52" s="631"/>
      <c r="K52" s="632"/>
      <c r="L52" s="618"/>
      <c r="M52" s="630"/>
      <c r="N52" s="631"/>
      <c r="O52" s="632"/>
      <c r="P52" s="631"/>
      <c r="Q52" s="632"/>
      <c r="R52" s="617"/>
      <c r="S52" s="632"/>
      <c r="T52" s="618"/>
    </row>
    <row r="53" spans="1:21" s="44" customFormat="1" ht="19.149999999999999" customHeight="1" thickBot="1">
      <c r="A53" s="633" t="s">
        <v>75</v>
      </c>
      <c r="B53" s="634"/>
      <c r="C53" s="635"/>
      <c r="D53" s="636"/>
      <c r="E53" s="637"/>
      <c r="F53" s="638"/>
      <c r="G53" s="639"/>
      <c r="H53" s="638"/>
      <c r="I53" s="639"/>
      <c r="J53" s="638"/>
      <c r="K53" s="639"/>
      <c r="L53" s="640"/>
      <c r="M53" s="637"/>
      <c r="N53" s="638"/>
      <c r="O53" s="639"/>
      <c r="P53" s="638"/>
      <c r="Q53" s="639"/>
      <c r="R53" s="641"/>
      <c r="S53" s="639"/>
      <c r="T53" s="640"/>
    </row>
    <row r="54" spans="1:21" s="15" customFormat="1" ht="19.149999999999999" customHeight="1" thickBot="1">
      <c r="A54" s="376" t="s">
        <v>76</v>
      </c>
      <c r="B54" s="642">
        <f>SUM(B6,B14,B17,B21,B44,B50,B52)</f>
        <v>24033</v>
      </c>
      <c r="C54" s="643">
        <f>SUM(C6,C14,C17,C21,C44,C50,C52)</f>
        <v>2908</v>
      </c>
      <c r="D54" s="644">
        <f>SUM(D6,D14,D17,D21,D44,D50,D52)</f>
        <v>3553</v>
      </c>
      <c r="E54" s="642">
        <f>SUM(E6,E14,E17,E21,E44,E50,E52)</f>
        <v>2284</v>
      </c>
      <c r="F54" s="645">
        <f>E54/K54*100</f>
        <v>67.814726840855116</v>
      </c>
      <c r="G54" s="646">
        <f>SUM(G6,G14,G17,G21,G44,G50,G52)</f>
        <v>538</v>
      </c>
      <c r="H54" s="647">
        <f>G54/K54*100</f>
        <v>15.973871733966746</v>
      </c>
      <c r="I54" s="494">
        <f>SUM(I6,I14,I17,I21,I44,I50,I52)</f>
        <v>546</v>
      </c>
      <c r="J54" s="648">
        <f>I54/K54*100</f>
        <v>16.211401425178149</v>
      </c>
      <c r="K54" s="494">
        <f>SUM(K6,K14,K17,K21,K44,K50,K52)</f>
        <v>3368</v>
      </c>
      <c r="L54" s="648">
        <f t="shared" ref="L54" si="33">+K54/D54*100</f>
        <v>94.793132564030401</v>
      </c>
      <c r="M54" s="642">
        <f>SUM(M6,M14,M17,M21,M44,M50,M52)</f>
        <v>138</v>
      </c>
      <c r="N54" s="649">
        <f>M54/E54*100</f>
        <v>6.0420315236427315</v>
      </c>
      <c r="O54" s="646">
        <f>SUM(O6,O14,O17,O21,O44,O50,O52)</f>
        <v>42</v>
      </c>
      <c r="P54" s="650">
        <f>O54/G54*100</f>
        <v>7.8066914498141262</v>
      </c>
      <c r="Q54" s="644">
        <f>SUM(Q6,Q14,Q17,Q21,Q44,Q50,Q52)</f>
        <v>59</v>
      </c>
      <c r="R54" s="648">
        <f>Q54/I54*100</f>
        <v>10.805860805860807</v>
      </c>
      <c r="S54" s="646">
        <f>SUM(S6,S14,S17,S21,S44,S50,S52)</f>
        <v>239</v>
      </c>
      <c r="T54" s="651">
        <f>S54/K54*100</f>
        <v>7.0961995249406176</v>
      </c>
      <c r="U54" s="31"/>
    </row>
    <row r="55" spans="1:21" s="1" customFormat="1" ht="88.9" customHeight="1">
      <c r="A55" s="927" t="s">
        <v>82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7"/>
      <c r="O55" s="927"/>
      <c r="P55" s="927"/>
      <c r="Q55" s="927"/>
      <c r="R55" s="927"/>
      <c r="S55" s="927"/>
      <c r="T55" s="927"/>
      <c r="U55" s="63"/>
    </row>
    <row r="56" spans="1:21" ht="24">
      <c r="A56" s="16" t="s">
        <v>77</v>
      </c>
      <c r="B56" s="17"/>
      <c r="C56" s="17"/>
      <c r="D56" s="17"/>
      <c r="F56" s="51"/>
      <c r="G56" s="52"/>
      <c r="H56" s="51"/>
      <c r="I56" s="50"/>
      <c r="J56" s="51"/>
      <c r="L56" s="51"/>
      <c r="N56" s="51"/>
      <c r="P56" s="51"/>
      <c r="R56" s="51"/>
      <c r="T56" s="51"/>
    </row>
  </sheetData>
  <mergeCells count="16">
    <mergeCell ref="A55:T55"/>
    <mergeCell ref="A1:T1"/>
    <mergeCell ref="A3:A5"/>
    <mergeCell ref="B3:B5"/>
    <mergeCell ref="C3:C5"/>
    <mergeCell ref="D3:D5"/>
    <mergeCell ref="E3:J3"/>
    <mergeCell ref="K3:L4"/>
    <mergeCell ref="M3:R3"/>
    <mergeCell ref="S3:T4"/>
    <mergeCell ref="E4:F4"/>
    <mergeCell ref="G4:H4"/>
    <mergeCell ref="I4:J4"/>
    <mergeCell ref="M4:N4"/>
    <mergeCell ref="O4:P4"/>
    <mergeCell ref="Q4:R4"/>
  </mergeCells>
  <printOptions horizontalCentered="1"/>
  <pageMargins left="0.35433070866141736" right="0.31496062992125984" top="0.41" bottom="0.23622047244094491" header="0.15748031496062992" footer="0.11811023622047245"/>
  <pageSetup paperSize="9" scale="76" firstPageNumber="5" orientation="landscape" useFirstPageNumber="1" r:id="rId1"/>
  <headerFooter>
    <oddFooter>&amp;L&amp;"TH SarabunPSK,Regular"&amp;8&amp;K00+000&amp;Z&amp;F&amp;R&amp;"TH SarabunPSK,Regular"&amp;16&amp;K00+000&amp;P</oddFooter>
  </headerFooter>
  <rowBreaks count="1" manualBreakCount="1">
    <brk id="3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53"/>
  <sheetViews>
    <sheetView showZeros="0" view="pageBreakPreview" zoomScaleNormal="98" zoomScaleSheetLayoutView="100" zoomScalePageLayoutView="70" workbookViewId="0">
      <selection activeCell="A35" sqref="A35"/>
    </sheetView>
  </sheetViews>
  <sheetFormatPr defaultColWidth="8.85546875" defaultRowHeight="15"/>
  <cols>
    <col min="1" max="1" width="29.5703125" style="20" customWidth="1"/>
    <col min="2" max="2" width="9.85546875" style="64" customWidth="1"/>
    <col min="3" max="3" width="8.42578125" style="64" customWidth="1"/>
    <col min="4" max="4" width="8.85546875" style="64" customWidth="1"/>
    <col min="5" max="5" width="6.7109375" style="106" customWidth="1"/>
    <col min="6" max="6" width="8.28515625" style="102" customWidth="1"/>
    <col min="7" max="7" width="5.5703125" style="106" customWidth="1"/>
    <col min="8" max="8" width="8.28515625" style="102" customWidth="1"/>
    <col min="9" max="9" width="5.7109375" style="106" customWidth="1"/>
    <col min="10" max="10" width="7.5703125" style="102" customWidth="1"/>
    <col min="11" max="11" width="8.85546875" style="107" customWidth="1"/>
    <col min="12" max="12" width="8.28515625" style="102" customWidth="1"/>
    <col min="13" max="13" width="5.85546875" style="106" customWidth="1"/>
    <col min="14" max="14" width="7.85546875" style="102" customWidth="1"/>
    <col min="15" max="15" width="6.28515625" style="106" customWidth="1"/>
    <col min="16" max="16" width="8" style="102" customWidth="1"/>
    <col min="17" max="17" width="5.140625" style="106" customWidth="1"/>
    <col min="18" max="18" width="7.85546875" style="102" customWidth="1"/>
    <col min="19" max="19" width="8.42578125" style="106" customWidth="1"/>
    <col min="20" max="20" width="7.7109375" style="102" customWidth="1"/>
    <col min="21" max="21" width="6.140625" style="102" customWidth="1"/>
    <col min="22" max="22" width="20.42578125" style="103" customWidth="1"/>
    <col min="23" max="23" width="9.42578125" style="104" customWidth="1"/>
    <col min="24" max="24" width="9.42578125" style="105" customWidth="1"/>
    <col min="25" max="16384" width="8.85546875" style="1"/>
  </cols>
  <sheetData>
    <row r="1" spans="1:24" ht="27.75" customHeight="1">
      <c r="A1" s="928" t="s">
        <v>91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21"/>
      <c r="V1" s="21"/>
      <c r="W1" s="67"/>
      <c r="X1" s="68"/>
    </row>
    <row r="2" spans="1:24" ht="30.75" customHeight="1" thickBot="1">
      <c r="A2" s="2" t="s">
        <v>1</v>
      </c>
      <c r="B2" s="56"/>
      <c r="C2" s="56"/>
      <c r="D2" s="56"/>
      <c r="E2" s="69">
        <f>SUM(E7:E50)</f>
        <v>2907</v>
      </c>
      <c r="F2" s="34">
        <f t="shared" ref="F2" si="0">E2/K2*100</f>
        <v>46.841766032871412</v>
      </c>
      <c r="G2" s="69">
        <f>SUM(G7:G50)</f>
        <v>1709</v>
      </c>
      <c r="H2" s="34">
        <f t="shared" ref="H2" si="1">G2/K2*100</f>
        <v>27.537866580728327</v>
      </c>
      <c r="I2" s="69">
        <f>SUM(I7:I50)</f>
        <v>1590</v>
      </c>
      <c r="J2" s="34">
        <f t="shared" ref="J2" si="2">I2/K2*100</f>
        <v>25.620367386400254</v>
      </c>
      <c r="K2" s="70">
        <f>SUM(K7:K50)</f>
        <v>6206</v>
      </c>
      <c r="L2" s="34"/>
      <c r="M2" s="69">
        <f>SUM(M7:M50)</f>
        <v>239</v>
      </c>
      <c r="N2" s="34">
        <f t="shared" ref="N2" si="3">M2/E2*100</f>
        <v>8.2215342277261776</v>
      </c>
      <c r="O2" s="69">
        <f>SUM(O7:O50)</f>
        <v>261</v>
      </c>
      <c r="P2" s="34">
        <f>O2/G2*100</f>
        <v>15.272088940901114</v>
      </c>
      <c r="Q2" s="69">
        <f>SUM(Q7:Q50)</f>
        <v>172</v>
      </c>
      <c r="R2" s="34">
        <f>Q2/I2*100</f>
        <v>10.817610062893083</v>
      </c>
      <c r="S2" s="69">
        <f>SUM(S7:S50)</f>
        <v>678</v>
      </c>
      <c r="T2" s="34">
        <f t="shared" ref="T2" si="4">S2/K2*100</f>
        <v>10.924911376087657</v>
      </c>
      <c r="U2" s="71"/>
      <c r="V2" s="71"/>
      <c r="W2" s="56" t="s">
        <v>84</v>
      </c>
      <c r="X2" s="72"/>
    </row>
    <row r="3" spans="1:24" ht="42" customHeight="1" thickBot="1">
      <c r="A3" s="921" t="s">
        <v>2</v>
      </c>
      <c r="B3" s="966" t="s">
        <v>3</v>
      </c>
      <c r="C3" s="968" t="s">
        <v>4</v>
      </c>
      <c r="D3" s="955" t="s">
        <v>5</v>
      </c>
      <c r="E3" s="972" t="s">
        <v>6</v>
      </c>
      <c r="F3" s="972"/>
      <c r="G3" s="972"/>
      <c r="H3" s="972"/>
      <c r="I3" s="972"/>
      <c r="J3" s="972"/>
      <c r="K3" s="973" t="s">
        <v>7</v>
      </c>
      <c r="L3" s="974"/>
      <c r="M3" s="972" t="s">
        <v>81</v>
      </c>
      <c r="N3" s="972"/>
      <c r="O3" s="972"/>
      <c r="P3" s="972"/>
      <c r="Q3" s="972"/>
      <c r="R3" s="977"/>
      <c r="S3" s="978" t="s">
        <v>7</v>
      </c>
      <c r="T3" s="974"/>
      <c r="U3" s="73"/>
      <c r="V3" s="962" t="s">
        <v>85</v>
      </c>
      <c r="W3" s="963" t="s">
        <v>86</v>
      </c>
      <c r="X3" s="964" t="s">
        <v>87</v>
      </c>
    </row>
    <row r="4" spans="1:24" ht="21.75" customHeight="1" thickBot="1">
      <c r="A4" s="929"/>
      <c r="B4" s="967"/>
      <c r="C4" s="969"/>
      <c r="D4" s="956"/>
      <c r="E4" s="972" t="s">
        <v>8</v>
      </c>
      <c r="F4" s="972"/>
      <c r="G4" s="980" t="s">
        <v>9</v>
      </c>
      <c r="H4" s="981"/>
      <c r="I4" s="972" t="s">
        <v>10</v>
      </c>
      <c r="J4" s="972"/>
      <c r="K4" s="975"/>
      <c r="L4" s="976"/>
      <c r="M4" s="972" t="s">
        <v>8</v>
      </c>
      <c r="N4" s="972"/>
      <c r="O4" s="980" t="s">
        <v>9</v>
      </c>
      <c r="P4" s="981"/>
      <c r="Q4" s="972" t="s">
        <v>10</v>
      </c>
      <c r="R4" s="977"/>
      <c r="S4" s="979"/>
      <c r="T4" s="976"/>
      <c r="U4" s="73"/>
      <c r="V4" s="962"/>
      <c r="W4" s="963"/>
      <c r="X4" s="964"/>
    </row>
    <row r="5" spans="1:24" ht="54.75" customHeight="1" thickBot="1">
      <c r="A5" s="930"/>
      <c r="B5" s="967"/>
      <c r="C5" s="969"/>
      <c r="D5" s="956"/>
      <c r="E5" s="74" t="s">
        <v>11</v>
      </c>
      <c r="F5" s="57" t="s">
        <v>12</v>
      </c>
      <c r="G5" s="75" t="s">
        <v>13</v>
      </c>
      <c r="H5" s="58" t="s">
        <v>14</v>
      </c>
      <c r="I5" s="74" t="s">
        <v>15</v>
      </c>
      <c r="J5" s="57" t="s">
        <v>16</v>
      </c>
      <c r="K5" s="76" t="s">
        <v>17</v>
      </c>
      <c r="L5" s="58" t="s">
        <v>18</v>
      </c>
      <c r="M5" s="77" t="s">
        <v>19</v>
      </c>
      <c r="N5" s="57" t="s">
        <v>20</v>
      </c>
      <c r="O5" s="75" t="s">
        <v>21</v>
      </c>
      <c r="P5" s="58" t="s">
        <v>22</v>
      </c>
      <c r="Q5" s="74" t="s">
        <v>23</v>
      </c>
      <c r="R5" s="59" t="s">
        <v>24</v>
      </c>
      <c r="S5" s="78" t="s">
        <v>25</v>
      </c>
      <c r="T5" s="59" t="s">
        <v>26</v>
      </c>
      <c r="U5" s="79"/>
      <c r="V5" s="962"/>
      <c r="W5" s="963"/>
      <c r="X5" s="964"/>
    </row>
    <row r="6" spans="1:24" ht="19.5" customHeight="1">
      <c r="A6" s="293" t="s">
        <v>27</v>
      </c>
      <c r="B6" s="404">
        <f>SUM(B7:B8)</f>
        <v>596</v>
      </c>
      <c r="C6" s="295">
        <f>SUM(C7:C8)</f>
        <v>180</v>
      </c>
      <c r="D6" s="405">
        <f>SUM(D7:D8)</f>
        <v>104</v>
      </c>
      <c r="E6" s="652">
        <f>SUM(E7:E8)</f>
        <v>18</v>
      </c>
      <c r="F6" s="233">
        <f>E6/K6*100</f>
        <v>21.176470588235293</v>
      </c>
      <c r="G6" s="653">
        <f>SUM(G7:G8)</f>
        <v>22</v>
      </c>
      <c r="H6" s="237">
        <f t="shared" ref="H6" si="5">G6/K6*100</f>
        <v>25.882352941176475</v>
      </c>
      <c r="I6" s="653">
        <f>SUM(I7:I8)</f>
        <v>45</v>
      </c>
      <c r="J6" s="237">
        <f t="shared" ref="J6" si="6">I6/K6*100</f>
        <v>52.941176470588239</v>
      </c>
      <c r="K6" s="296">
        <f>SUM(K7:K8)</f>
        <v>85</v>
      </c>
      <c r="L6" s="236">
        <f>+K6/D6*100</f>
        <v>81.730769230769226</v>
      </c>
      <c r="M6" s="654">
        <f>SUM(M7:M8)</f>
        <v>1</v>
      </c>
      <c r="N6" s="237">
        <f>M6/E6*100</f>
        <v>5.5555555555555554</v>
      </c>
      <c r="O6" s="653">
        <f>SUM(O7:O8)</f>
        <v>0</v>
      </c>
      <c r="P6" s="237">
        <f>+O6/G6*100</f>
        <v>0</v>
      </c>
      <c r="Q6" s="653">
        <f>SUM(Q7:Q8)</f>
        <v>1</v>
      </c>
      <c r="R6" s="236">
        <f>+Q6/I6*100</f>
        <v>2.2222222222222223</v>
      </c>
      <c r="S6" s="652">
        <f>SUM(S7:S8)</f>
        <v>2</v>
      </c>
      <c r="T6" s="236">
        <f t="shared" ref="T6" si="7">S6/K6*100</f>
        <v>2.3529411764705883</v>
      </c>
      <c r="U6" s="80"/>
      <c r="V6" s="81"/>
      <c r="W6" s="46">
        <f>SUM(W7:W8)</f>
        <v>80</v>
      </c>
      <c r="X6" s="82">
        <f>+K6-W6</f>
        <v>5</v>
      </c>
    </row>
    <row r="7" spans="1:24" ht="19.5" customHeight="1">
      <c r="A7" s="275" t="s">
        <v>28</v>
      </c>
      <c r="B7" s="446">
        <f>121+10+6+5</f>
        <v>142</v>
      </c>
      <c r="C7" s="447">
        <v>60</v>
      </c>
      <c r="D7" s="655">
        <f>28+6+5+24</f>
        <v>63</v>
      </c>
      <c r="E7" s="656">
        <v>18</v>
      </c>
      <c r="F7" s="657">
        <f>E7/K7*100</f>
        <v>34.615384615384613</v>
      </c>
      <c r="G7" s="658">
        <v>22</v>
      </c>
      <c r="H7" s="659">
        <f>G7/K7*100</f>
        <v>42.307692307692307</v>
      </c>
      <c r="I7" s="658">
        <v>12</v>
      </c>
      <c r="J7" s="659">
        <f>I7/K7*100</f>
        <v>23.076923076923077</v>
      </c>
      <c r="K7" s="660">
        <f>SUM(I7,E7,G7)</f>
        <v>52</v>
      </c>
      <c r="L7" s="276">
        <f t="shared" ref="L7:L8" si="8">+K7/D7*100</f>
        <v>82.539682539682531</v>
      </c>
      <c r="M7" s="661">
        <v>1</v>
      </c>
      <c r="N7" s="659">
        <f>M7/E7*100</f>
        <v>5.5555555555555554</v>
      </c>
      <c r="O7" s="658">
        <v>0</v>
      </c>
      <c r="P7" s="659">
        <v>0</v>
      </c>
      <c r="Q7" s="658">
        <v>1</v>
      </c>
      <c r="R7" s="276">
        <f>Q7/I7*100</f>
        <v>8.3333333333333321</v>
      </c>
      <c r="S7" s="656">
        <f>SUM(M7,O7,Q7)</f>
        <v>2</v>
      </c>
      <c r="T7" s="276">
        <f>S7/K7*100</f>
        <v>3.8461538461538463</v>
      </c>
      <c r="U7" s="83"/>
      <c r="V7" s="84" t="s">
        <v>92</v>
      </c>
      <c r="W7" s="48">
        <f>28+6+5</f>
        <v>39</v>
      </c>
      <c r="X7" s="82">
        <f t="shared" ref="X7" si="9">+K7-W7</f>
        <v>13</v>
      </c>
    </row>
    <row r="8" spans="1:24" ht="19.5" customHeight="1">
      <c r="A8" s="186" t="s">
        <v>29</v>
      </c>
      <c r="B8" s="512">
        <f>SUM(B9:B13)</f>
        <v>454</v>
      </c>
      <c r="C8" s="513">
        <f t="shared" ref="C8:D8" si="10">SUM(C9:C13)</f>
        <v>120</v>
      </c>
      <c r="D8" s="662">
        <f t="shared" si="10"/>
        <v>41</v>
      </c>
      <c r="E8" s="663">
        <v>0</v>
      </c>
      <c r="F8" s="521">
        <v>0</v>
      </c>
      <c r="G8" s="664">
        <v>0</v>
      </c>
      <c r="H8" s="520">
        <v>0</v>
      </c>
      <c r="I8" s="664">
        <f>SUM(I9:I13)</f>
        <v>33</v>
      </c>
      <c r="J8" s="520">
        <f>I8/K8*100</f>
        <v>100</v>
      </c>
      <c r="K8" s="665">
        <f t="shared" ref="K8:K50" si="11">SUM(I8,E8,G8)</f>
        <v>33</v>
      </c>
      <c r="L8" s="522">
        <f t="shared" si="8"/>
        <v>80.487804878048792</v>
      </c>
      <c r="M8" s="666">
        <v>0</v>
      </c>
      <c r="N8" s="520">
        <v>0</v>
      </c>
      <c r="O8" s="664">
        <v>0</v>
      </c>
      <c r="P8" s="520">
        <v>0</v>
      </c>
      <c r="Q8" s="664">
        <v>0</v>
      </c>
      <c r="R8" s="522">
        <v>0</v>
      </c>
      <c r="S8" s="663">
        <f t="shared" ref="S8:S50" si="12">SUM(M8,O8,Q8)</f>
        <v>0</v>
      </c>
      <c r="T8" s="522">
        <v>0</v>
      </c>
      <c r="U8" s="85"/>
      <c r="V8" s="86"/>
      <c r="W8" s="87">
        <f>8+33</f>
        <v>41</v>
      </c>
      <c r="X8" s="82"/>
    </row>
    <row r="9" spans="1:24" ht="19.5" customHeight="1">
      <c r="A9" s="213" t="s">
        <v>30</v>
      </c>
      <c r="B9" s="667">
        <f>298+156</f>
        <v>454</v>
      </c>
      <c r="C9" s="668">
        <v>120</v>
      </c>
      <c r="D9" s="669">
        <f>8+33</f>
        <v>41</v>
      </c>
      <c r="E9" s="670"/>
      <c r="F9" s="671"/>
      <c r="G9" s="672"/>
      <c r="H9" s="673"/>
      <c r="I9" s="672">
        <v>27</v>
      </c>
      <c r="J9" s="673"/>
      <c r="K9" s="674">
        <f t="shared" si="11"/>
        <v>27</v>
      </c>
      <c r="L9" s="675"/>
      <c r="M9" s="676"/>
      <c r="N9" s="677"/>
      <c r="O9" s="678"/>
      <c r="P9" s="677"/>
      <c r="Q9" s="678"/>
      <c r="R9" s="278"/>
      <c r="S9" s="679"/>
      <c r="T9" s="278"/>
      <c r="U9" s="83"/>
      <c r="V9" s="84"/>
      <c r="W9" s="48"/>
      <c r="X9" s="88"/>
    </row>
    <row r="10" spans="1:24" ht="19.5" customHeight="1">
      <c r="A10" s="213" t="s">
        <v>31</v>
      </c>
      <c r="B10" s="528"/>
      <c r="C10" s="529"/>
      <c r="D10" s="680"/>
      <c r="E10" s="670"/>
      <c r="F10" s="671"/>
      <c r="G10" s="672"/>
      <c r="H10" s="673"/>
      <c r="I10" s="672">
        <v>1</v>
      </c>
      <c r="J10" s="673"/>
      <c r="K10" s="674">
        <f t="shared" si="11"/>
        <v>1</v>
      </c>
      <c r="L10" s="675"/>
      <c r="M10" s="676"/>
      <c r="N10" s="677"/>
      <c r="O10" s="678"/>
      <c r="P10" s="677"/>
      <c r="Q10" s="678"/>
      <c r="R10" s="278"/>
      <c r="S10" s="679">
        <f t="shared" si="12"/>
        <v>0</v>
      </c>
      <c r="T10" s="278"/>
      <c r="U10" s="83"/>
      <c r="V10" s="84"/>
      <c r="W10" s="48"/>
      <c r="X10" s="88"/>
    </row>
    <row r="11" spans="1:24" ht="19.5" customHeight="1">
      <c r="A11" s="213" t="s">
        <v>32</v>
      </c>
      <c r="B11" s="528"/>
      <c r="C11" s="529"/>
      <c r="D11" s="680"/>
      <c r="E11" s="670"/>
      <c r="F11" s="671"/>
      <c r="G11" s="672"/>
      <c r="H11" s="673"/>
      <c r="I11" s="672">
        <v>1</v>
      </c>
      <c r="J11" s="673"/>
      <c r="K11" s="674">
        <f t="shared" si="11"/>
        <v>1</v>
      </c>
      <c r="L11" s="675"/>
      <c r="M11" s="676"/>
      <c r="N11" s="677"/>
      <c r="O11" s="678"/>
      <c r="P11" s="677"/>
      <c r="Q11" s="678"/>
      <c r="R11" s="278"/>
      <c r="S11" s="679">
        <f t="shared" si="12"/>
        <v>0</v>
      </c>
      <c r="T11" s="278"/>
      <c r="U11" s="83"/>
      <c r="V11" s="84"/>
      <c r="W11" s="48"/>
      <c r="X11" s="88"/>
    </row>
    <row r="12" spans="1:24" ht="19.5" customHeight="1">
      <c r="A12" s="213" t="s">
        <v>33</v>
      </c>
      <c r="B12" s="528"/>
      <c r="C12" s="529"/>
      <c r="D12" s="680"/>
      <c r="E12" s="670"/>
      <c r="F12" s="671"/>
      <c r="G12" s="672"/>
      <c r="H12" s="673"/>
      <c r="I12" s="672">
        <v>1</v>
      </c>
      <c r="J12" s="673"/>
      <c r="K12" s="674">
        <f t="shared" si="11"/>
        <v>1</v>
      </c>
      <c r="L12" s="675"/>
      <c r="M12" s="676"/>
      <c r="N12" s="677"/>
      <c r="O12" s="678"/>
      <c r="P12" s="677"/>
      <c r="Q12" s="678"/>
      <c r="R12" s="278"/>
      <c r="S12" s="679">
        <f t="shared" si="12"/>
        <v>0</v>
      </c>
      <c r="T12" s="278"/>
      <c r="U12" s="83"/>
      <c r="V12" s="84"/>
      <c r="W12" s="48"/>
      <c r="X12" s="88"/>
    </row>
    <row r="13" spans="1:24" ht="19.5" customHeight="1" thickBot="1">
      <c r="A13" s="225" t="s">
        <v>34</v>
      </c>
      <c r="B13" s="533"/>
      <c r="C13" s="534"/>
      <c r="D13" s="681"/>
      <c r="E13" s="682"/>
      <c r="F13" s="683"/>
      <c r="G13" s="684"/>
      <c r="H13" s="685"/>
      <c r="I13" s="684">
        <v>3</v>
      </c>
      <c r="J13" s="685"/>
      <c r="K13" s="686">
        <f t="shared" si="11"/>
        <v>3</v>
      </c>
      <c r="L13" s="687"/>
      <c r="M13" s="688"/>
      <c r="N13" s="689"/>
      <c r="O13" s="690"/>
      <c r="P13" s="689"/>
      <c r="Q13" s="690"/>
      <c r="R13" s="261"/>
      <c r="S13" s="691">
        <f t="shared" si="12"/>
        <v>0</v>
      </c>
      <c r="T13" s="261"/>
      <c r="U13" s="83"/>
      <c r="V13" s="84"/>
      <c r="W13" s="48"/>
      <c r="X13" s="88"/>
    </row>
    <row r="14" spans="1:24" ht="19.5" customHeight="1">
      <c r="A14" s="228" t="s">
        <v>35</v>
      </c>
      <c r="B14" s="692">
        <f>SUM(B15:B16)</f>
        <v>1130</v>
      </c>
      <c r="C14" s="542">
        <f>SUM(C15:C16)</f>
        <v>290</v>
      </c>
      <c r="D14" s="693">
        <f>SUM(D15:D16)</f>
        <v>355</v>
      </c>
      <c r="E14" s="694">
        <f t="shared" ref="E14:S14" si="13">SUM(E15:E16)</f>
        <v>145</v>
      </c>
      <c r="F14" s="233">
        <f>E14/K14*100</f>
        <v>48.333333333333336</v>
      </c>
      <c r="G14" s="695">
        <f t="shared" si="13"/>
        <v>120</v>
      </c>
      <c r="H14" s="235">
        <f t="shared" ref="H14:H21" si="14">G14/K14*100</f>
        <v>40</v>
      </c>
      <c r="I14" s="695">
        <f t="shared" si="13"/>
        <v>35</v>
      </c>
      <c r="J14" s="235">
        <f t="shared" ref="J14:J48" si="15">I14/K14*100</f>
        <v>11.666666666666666</v>
      </c>
      <c r="K14" s="543">
        <f t="shared" si="13"/>
        <v>300</v>
      </c>
      <c r="L14" s="236">
        <f>+K14/D14*100</f>
        <v>84.507042253521121</v>
      </c>
      <c r="M14" s="696">
        <f t="shared" si="13"/>
        <v>17</v>
      </c>
      <c r="N14" s="235">
        <f>M14/E14*100</f>
        <v>11.724137931034482</v>
      </c>
      <c r="O14" s="695">
        <f t="shared" si="13"/>
        <v>10</v>
      </c>
      <c r="P14" s="235">
        <f>+O14/G14*100</f>
        <v>8.3333333333333321</v>
      </c>
      <c r="Q14" s="695">
        <v>0</v>
      </c>
      <c r="R14" s="238">
        <f>+Q14/I14*100</f>
        <v>0</v>
      </c>
      <c r="S14" s="694">
        <f t="shared" si="13"/>
        <v>29</v>
      </c>
      <c r="T14" s="238">
        <f t="shared" ref="T14:T30" si="16">S14/K14*100</f>
        <v>9.6666666666666661</v>
      </c>
      <c r="U14" s="80"/>
      <c r="V14" s="81" t="s">
        <v>93</v>
      </c>
      <c r="W14" s="46">
        <f>SUM(W15:W16)</f>
        <v>232</v>
      </c>
      <c r="X14" s="82">
        <f>+K14-W14</f>
        <v>68</v>
      </c>
    </row>
    <row r="15" spans="1:24" ht="19.5" customHeight="1">
      <c r="A15" s="239" t="s">
        <v>36</v>
      </c>
      <c r="B15" s="446">
        <f>309+22+1+10+1+6</f>
        <v>349</v>
      </c>
      <c r="C15" s="447">
        <v>200</v>
      </c>
      <c r="D15" s="655">
        <f>91+9+1+5+95</f>
        <v>201</v>
      </c>
      <c r="E15" s="656">
        <v>65</v>
      </c>
      <c r="F15" s="605">
        <f t="shared" ref="F15:F16" si="17">E15/K15*100</f>
        <v>37.356321839080458</v>
      </c>
      <c r="G15" s="658">
        <v>94</v>
      </c>
      <c r="H15" s="659">
        <f t="shared" si="14"/>
        <v>54.022988505747129</v>
      </c>
      <c r="I15" s="658">
        <v>15</v>
      </c>
      <c r="J15" s="659">
        <f t="shared" si="15"/>
        <v>8.6206896551724146</v>
      </c>
      <c r="K15" s="660">
        <f t="shared" si="11"/>
        <v>174</v>
      </c>
      <c r="L15" s="248">
        <f t="shared" ref="L15:L21" si="18">+K15/D15*100</f>
        <v>86.567164179104466</v>
      </c>
      <c r="M15" s="661">
        <v>6</v>
      </c>
      <c r="N15" s="659">
        <f t="shared" ref="N15:N25" si="19">M15/E15*100</f>
        <v>9.2307692307692317</v>
      </c>
      <c r="O15" s="658">
        <v>9</v>
      </c>
      <c r="P15" s="659">
        <f>O15/G15*100</f>
        <v>9.5744680851063837</v>
      </c>
      <c r="Q15" s="658">
        <v>2</v>
      </c>
      <c r="R15" s="276">
        <f>Q15/I15*100</f>
        <v>13.333333333333334</v>
      </c>
      <c r="S15" s="656">
        <f t="shared" si="12"/>
        <v>17</v>
      </c>
      <c r="T15" s="276">
        <f t="shared" si="16"/>
        <v>9.7701149425287355</v>
      </c>
      <c r="U15" s="83"/>
      <c r="V15" s="81" t="s">
        <v>94</v>
      </c>
      <c r="W15" s="48">
        <f>91+9+1+5</f>
        <v>106</v>
      </c>
      <c r="X15" s="82">
        <f t="shared" ref="X15:X21" si="20">+K15-W15</f>
        <v>68</v>
      </c>
    </row>
    <row r="16" spans="1:24" ht="19.5" customHeight="1" thickBot="1">
      <c r="A16" s="198" t="s">
        <v>37</v>
      </c>
      <c r="B16" s="560">
        <f>703+54+1+3+13+4+3</f>
        <v>781</v>
      </c>
      <c r="C16" s="561">
        <v>90</v>
      </c>
      <c r="D16" s="697">
        <f>109+10+4+3+28</f>
        <v>154</v>
      </c>
      <c r="E16" s="698">
        <v>80</v>
      </c>
      <c r="F16" s="288">
        <f t="shared" si="17"/>
        <v>63.492063492063487</v>
      </c>
      <c r="G16" s="699">
        <v>26</v>
      </c>
      <c r="H16" s="700">
        <f t="shared" si="14"/>
        <v>20.634920634920633</v>
      </c>
      <c r="I16" s="699">
        <v>20</v>
      </c>
      <c r="J16" s="700">
        <f t="shared" si="15"/>
        <v>15.873015873015872</v>
      </c>
      <c r="K16" s="701">
        <f t="shared" si="11"/>
        <v>126</v>
      </c>
      <c r="L16" s="702">
        <f t="shared" si="18"/>
        <v>81.818181818181827</v>
      </c>
      <c r="M16" s="703">
        <v>11</v>
      </c>
      <c r="N16" s="700">
        <f t="shared" si="19"/>
        <v>13.750000000000002</v>
      </c>
      <c r="O16" s="699">
        <v>1</v>
      </c>
      <c r="P16" s="700">
        <f>O16/G16*100</f>
        <v>3.8461538461538463</v>
      </c>
      <c r="Q16" s="699"/>
      <c r="R16" s="704"/>
      <c r="S16" s="698">
        <f t="shared" si="12"/>
        <v>12</v>
      </c>
      <c r="T16" s="704">
        <f t="shared" si="16"/>
        <v>9.5238095238095237</v>
      </c>
      <c r="U16" s="83"/>
      <c r="V16" s="84"/>
      <c r="W16" s="48">
        <f>109+10+4+3</f>
        <v>126</v>
      </c>
      <c r="X16" s="82">
        <f t="shared" si="20"/>
        <v>0</v>
      </c>
    </row>
    <row r="17" spans="1:24" ht="19.5" customHeight="1">
      <c r="A17" s="266" t="s">
        <v>38</v>
      </c>
      <c r="B17" s="705">
        <f>SUM(B18:B20)</f>
        <v>814</v>
      </c>
      <c r="C17" s="498">
        <f>SUM(C18:C20)</f>
        <v>270</v>
      </c>
      <c r="D17" s="706">
        <f>SUM(D18:D20)</f>
        <v>399</v>
      </c>
      <c r="E17" s="497">
        <f>SUM(E18:E20)</f>
        <v>127</v>
      </c>
      <c r="F17" s="707">
        <f>E17/K17*100</f>
        <v>40.705128205128204</v>
      </c>
      <c r="G17" s="708">
        <f>SUM(G18:G20)</f>
        <v>112</v>
      </c>
      <c r="H17" s="709">
        <f t="shared" si="14"/>
        <v>35.897435897435898</v>
      </c>
      <c r="I17" s="499">
        <f>SUM(I18:I20)</f>
        <v>73</v>
      </c>
      <c r="J17" s="709">
        <f t="shared" si="15"/>
        <v>23.397435897435898</v>
      </c>
      <c r="K17" s="710">
        <f>SUM(I17,E17,G17)</f>
        <v>312</v>
      </c>
      <c r="L17" s="711">
        <f t="shared" si="18"/>
        <v>78.195488721804509</v>
      </c>
      <c r="M17" s="497">
        <f>SUM(M18:M20)</f>
        <v>12</v>
      </c>
      <c r="N17" s="712">
        <f t="shared" si="19"/>
        <v>9.4488188976377945</v>
      </c>
      <c r="O17" s="710">
        <f>SUM(O18:O20)</f>
        <v>24</v>
      </c>
      <c r="P17" s="235">
        <f>+O17/G17*100</f>
        <v>21.428571428571427</v>
      </c>
      <c r="Q17" s="499">
        <f>SUM(Q18:Q20)</f>
        <v>7</v>
      </c>
      <c r="R17" s="713">
        <f t="shared" ref="R17:R30" si="21">Q17/I17*100</f>
        <v>9.5890410958904102</v>
      </c>
      <c r="S17" s="714">
        <f t="shared" si="12"/>
        <v>43</v>
      </c>
      <c r="T17" s="713">
        <f t="shared" si="16"/>
        <v>13.782051282051283</v>
      </c>
      <c r="U17" s="31"/>
      <c r="V17" s="81" t="s">
        <v>95</v>
      </c>
      <c r="W17" s="46">
        <v>270</v>
      </c>
      <c r="X17" s="82">
        <f t="shared" si="20"/>
        <v>42</v>
      </c>
    </row>
    <row r="18" spans="1:24" ht="19.5" customHeight="1">
      <c r="A18" s="275" t="s">
        <v>39</v>
      </c>
      <c r="B18" s="446">
        <f>156+16+15+1+6</f>
        <v>194</v>
      </c>
      <c r="C18" s="447">
        <v>90</v>
      </c>
      <c r="D18" s="655">
        <v>127</v>
      </c>
      <c r="E18" s="656">
        <v>34</v>
      </c>
      <c r="F18" s="288">
        <f t="shared" ref="F18:F20" si="22">E18/K18*100</f>
        <v>34.343434343434339</v>
      </c>
      <c r="G18" s="658">
        <v>44</v>
      </c>
      <c r="H18" s="659">
        <f t="shared" si="14"/>
        <v>44.444444444444443</v>
      </c>
      <c r="I18" s="658">
        <v>21</v>
      </c>
      <c r="J18" s="659">
        <f t="shared" si="15"/>
        <v>21.212121212121211</v>
      </c>
      <c r="K18" s="660">
        <f t="shared" si="11"/>
        <v>99</v>
      </c>
      <c r="L18" s="715">
        <f t="shared" si="18"/>
        <v>77.952755905511808</v>
      </c>
      <c r="M18" s="661">
        <v>2</v>
      </c>
      <c r="N18" s="659">
        <f t="shared" si="19"/>
        <v>5.8823529411764701</v>
      </c>
      <c r="O18" s="658">
        <v>3</v>
      </c>
      <c r="P18" s="659">
        <f t="shared" ref="P18:P20" si="23">O18/G18*100</f>
        <v>6.8181818181818175</v>
      </c>
      <c r="Q18" s="658">
        <v>3</v>
      </c>
      <c r="R18" s="276">
        <f t="shared" si="21"/>
        <v>14.285714285714285</v>
      </c>
      <c r="S18" s="656">
        <f t="shared" si="12"/>
        <v>8</v>
      </c>
      <c r="T18" s="276">
        <f t="shared" si="16"/>
        <v>8.0808080808080813</v>
      </c>
      <c r="U18" s="83"/>
      <c r="V18" s="81" t="s">
        <v>96</v>
      </c>
      <c r="W18" s="48">
        <v>78</v>
      </c>
      <c r="X18" s="82">
        <f t="shared" si="20"/>
        <v>21</v>
      </c>
    </row>
    <row r="19" spans="1:24" ht="19.5" customHeight="1">
      <c r="A19" s="213" t="s">
        <v>40</v>
      </c>
      <c r="B19" s="573">
        <f>105+9+1+1+18+3+3</f>
        <v>140</v>
      </c>
      <c r="C19" s="574">
        <v>90</v>
      </c>
      <c r="D19" s="716">
        <v>109</v>
      </c>
      <c r="E19" s="679">
        <v>31</v>
      </c>
      <c r="F19" s="717">
        <f t="shared" si="22"/>
        <v>36.046511627906973</v>
      </c>
      <c r="G19" s="678">
        <v>32</v>
      </c>
      <c r="H19" s="677">
        <f t="shared" si="14"/>
        <v>37.209302325581397</v>
      </c>
      <c r="I19" s="678">
        <v>23</v>
      </c>
      <c r="J19" s="677">
        <f t="shared" si="15"/>
        <v>26.744186046511626</v>
      </c>
      <c r="K19" s="718">
        <f t="shared" si="11"/>
        <v>86</v>
      </c>
      <c r="L19" s="719">
        <f t="shared" si="18"/>
        <v>78.899082568807344</v>
      </c>
      <c r="M19" s="676">
        <v>3</v>
      </c>
      <c r="N19" s="677">
        <f t="shared" si="19"/>
        <v>9.67741935483871</v>
      </c>
      <c r="O19" s="678">
        <v>10</v>
      </c>
      <c r="P19" s="677">
        <f t="shared" si="23"/>
        <v>31.25</v>
      </c>
      <c r="Q19" s="678">
        <v>4</v>
      </c>
      <c r="R19" s="278">
        <f t="shared" si="21"/>
        <v>17.391304347826086</v>
      </c>
      <c r="S19" s="679">
        <f t="shared" si="12"/>
        <v>17</v>
      </c>
      <c r="T19" s="278">
        <f t="shared" si="16"/>
        <v>19.767441860465116</v>
      </c>
      <c r="U19" s="83"/>
      <c r="V19" s="81" t="s">
        <v>97</v>
      </c>
      <c r="W19" s="48">
        <v>70</v>
      </c>
      <c r="X19" s="82">
        <f t="shared" si="20"/>
        <v>16</v>
      </c>
    </row>
    <row r="20" spans="1:24" ht="19.5" customHeight="1" thickBot="1">
      <c r="A20" s="225" t="s">
        <v>41</v>
      </c>
      <c r="B20" s="502">
        <f>407+43+19+4+7</f>
        <v>480</v>
      </c>
      <c r="C20" s="503">
        <v>90</v>
      </c>
      <c r="D20" s="720">
        <v>163</v>
      </c>
      <c r="E20" s="691">
        <v>62</v>
      </c>
      <c r="F20" s="288">
        <f t="shared" si="22"/>
        <v>48.818897637795274</v>
      </c>
      <c r="G20" s="690">
        <v>36</v>
      </c>
      <c r="H20" s="689">
        <f t="shared" si="14"/>
        <v>28.346456692913385</v>
      </c>
      <c r="I20" s="690">
        <v>29</v>
      </c>
      <c r="J20" s="689">
        <f t="shared" si="15"/>
        <v>22.834645669291341</v>
      </c>
      <c r="K20" s="721">
        <f t="shared" si="11"/>
        <v>127</v>
      </c>
      <c r="L20" s="722">
        <f t="shared" si="18"/>
        <v>77.914110429447859</v>
      </c>
      <c r="M20" s="688">
        <v>7</v>
      </c>
      <c r="N20" s="689">
        <f t="shared" si="19"/>
        <v>11.29032258064516</v>
      </c>
      <c r="O20" s="690">
        <v>11</v>
      </c>
      <c r="P20" s="689">
        <f t="shared" si="23"/>
        <v>30.555555555555557</v>
      </c>
      <c r="Q20" s="690">
        <v>0</v>
      </c>
      <c r="R20" s="261">
        <f t="shared" si="21"/>
        <v>0</v>
      </c>
      <c r="S20" s="691">
        <f t="shared" si="12"/>
        <v>18</v>
      </c>
      <c r="T20" s="261">
        <f t="shared" si="16"/>
        <v>14.173228346456693</v>
      </c>
      <c r="U20" s="83"/>
      <c r="V20" s="81" t="s">
        <v>98</v>
      </c>
      <c r="W20" s="48">
        <v>122</v>
      </c>
      <c r="X20" s="82">
        <f t="shared" si="20"/>
        <v>5</v>
      </c>
    </row>
    <row r="21" spans="1:24" ht="19.5" customHeight="1">
      <c r="A21" s="266" t="s">
        <v>42</v>
      </c>
      <c r="B21" s="294">
        <f>+B22</f>
        <v>5576</v>
      </c>
      <c r="C21" s="295">
        <f>+C22</f>
        <v>1740</v>
      </c>
      <c r="D21" s="405">
        <f>+D22</f>
        <v>2489</v>
      </c>
      <c r="E21" s="652">
        <f>SUM(E22:E42)</f>
        <v>916</v>
      </c>
      <c r="F21" s="707">
        <f>E21/K21*100</f>
        <v>45.056566650270533</v>
      </c>
      <c r="G21" s="653">
        <f>SUM(G22:G42)</f>
        <v>598</v>
      </c>
      <c r="H21" s="709">
        <f t="shared" si="14"/>
        <v>29.414658140678799</v>
      </c>
      <c r="I21" s="652">
        <f>SUM(I22:I42)</f>
        <v>519</v>
      </c>
      <c r="J21" s="709">
        <f t="shared" si="15"/>
        <v>25.528775209050664</v>
      </c>
      <c r="K21" s="296">
        <f t="shared" si="11"/>
        <v>2033</v>
      </c>
      <c r="L21" s="713">
        <f t="shared" si="18"/>
        <v>81.679389312977108</v>
      </c>
      <c r="M21" s="652">
        <f>SUM(M22:M42)</f>
        <v>63</v>
      </c>
      <c r="N21" s="712">
        <f t="shared" si="19"/>
        <v>6.8777292576419207</v>
      </c>
      <c r="O21" s="723">
        <f>SUM(O22:O42)</f>
        <v>95</v>
      </c>
      <c r="P21" s="235">
        <f>+O21/G21*100</f>
        <v>15.88628762541806</v>
      </c>
      <c r="Q21" s="652">
        <f>SUM(Q22:Q42)</f>
        <v>76</v>
      </c>
      <c r="R21" s="713">
        <f t="shared" si="21"/>
        <v>14.64354527938343</v>
      </c>
      <c r="S21" s="652">
        <f t="shared" si="12"/>
        <v>234</v>
      </c>
      <c r="T21" s="713">
        <f t="shared" si="16"/>
        <v>11.510083620265616</v>
      </c>
      <c r="U21" s="31"/>
      <c r="V21" s="81" t="s">
        <v>99</v>
      </c>
      <c r="W21" s="46">
        <f>1319+1+243+11+22+62+132+22+41</f>
        <v>1853</v>
      </c>
      <c r="X21" s="82">
        <f t="shared" si="20"/>
        <v>180</v>
      </c>
    </row>
    <row r="22" spans="1:24" ht="19.5" customHeight="1">
      <c r="A22" s="160" t="s">
        <v>43</v>
      </c>
      <c r="B22" s="596">
        <f>4101+584+1+485+18+155+22+145+24+41</f>
        <v>5576</v>
      </c>
      <c r="C22" s="597">
        <v>1740</v>
      </c>
      <c r="D22" s="598">
        <f>1319+1+243+11+22+62+132+22+41+636</f>
        <v>2489</v>
      </c>
      <c r="E22" s="724">
        <v>659</v>
      </c>
      <c r="F22" s="657">
        <f t="shared" ref="F22:F42" si="24">E22/K22*100</f>
        <v>47.650036153289946</v>
      </c>
      <c r="G22" s="725">
        <v>598</v>
      </c>
      <c r="H22" s="726">
        <f>G22/K22*100</f>
        <v>43.239334779464933</v>
      </c>
      <c r="I22" s="725">
        <v>126</v>
      </c>
      <c r="J22" s="726">
        <f t="shared" si="15"/>
        <v>9.1106290672451191</v>
      </c>
      <c r="K22" s="727">
        <f t="shared" si="11"/>
        <v>1383</v>
      </c>
      <c r="L22" s="248"/>
      <c r="M22" s="728">
        <v>51</v>
      </c>
      <c r="N22" s="605">
        <f t="shared" si="19"/>
        <v>7.7389984825493165</v>
      </c>
      <c r="O22" s="729">
        <v>95</v>
      </c>
      <c r="P22" s="726">
        <f>O22/G22*100</f>
        <v>15.88628762541806</v>
      </c>
      <c r="Q22" s="725">
        <v>19</v>
      </c>
      <c r="R22" s="248">
        <f t="shared" si="21"/>
        <v>15.079365079365079</v>
      </c>
      <c r="S22" s="724">
        <f t="shared" si="12"/>
        <v>165</v>
      </c>
      <c r="T22" s="248">
        <f t="shared" si="16"/>
        <v>11.930585683297181</v>
      </c>
      <c r="U22" s="83"/>
      <c r="V22" s="84">
        <f>2033-1853</f>
        <v>180</v>
      </c>
      <c r="W22" s="48"/>
      <c r="X22" s="88"/>
    </row>
    <row r="23" spans="1:24" ht="19.5" customHeight="1">
      <c r="A23" s="160" t="s">
        <v>44</v>
      </c>
      <c r="B23" s="589"/>
      <c r="C23" s="590"/>
      <c r="D23" s="591"/>
      <c r="E23" s="679">
        <v>7</v>
      </c>
      <c r="F23" s="717">
        <f t="shared" si="24"/>
        <v>33.333333333333329</v>
      </c>
      <c r="G23" s="678"/>
      <c r="H23" s="677"/>
      <c r="I23" s="678">
        <v>14</v>
      </c>
      <c r="J23" s="677">
        <f t="shared" si="15"/>
        <v>66.666666666666657</v>
      </c>
      <c r="K23" s="718">
        <f t="shared" si="11"/>
        <v>21</v>
      </c>
      <c r="L23" s="278"/>
      <c r="M23" s="676">
        <v>2</v>
      </c>
      <c r="N23" s="677">
        <f t="shared" si="19"/>
        <v>28.571428571428569</v>
      </c>
      <c r="O23" s="678"/>
      <c r="P23" s="677"/>
      <c r="Q23" s="678">
        <v>3</v>
      </c>
      <c r="R23" s="278">
        <f t="shared" si="21"/>
        <v>21.428571428571427</v>
      </c>
      <c r="S23" s="679">
        <f t="shared" si="12"/>
        <v>5</v>
      </c>
      <c r="T23" s="278">
        <f t="shared" si="16"/>
        <v>23.809523809523807</v>
      </c>
      <c r="U23" s="83"/>
      <c r="V23" s="89"/>
      <c r="W23" s="60"/>
      <c r="X23" s="90"/>
    </row>
    <row r="24" spans="1:24" ht="19.5" customHeight="1">
      <c r="A24" s="160" t="s">
        <v>45</v>
      </c>
      <c r="B24" s="589"/>
      <c r="C24" s="590"/>
      <c r="D24" s="591"/>
      <c r="E24" s="679">
        <v>16</v>
      </c>
      <c r="F24" s="717">
        <f t="shared" si="24"/>
        <v>26.666666666666668</v>
      </c>
      <c r="G24" s="678"/>
      <c r="H24" s="677"/>
      <c r="I24" s="678">
        <v>44</v>
      </c>
      <c r="J24" s="677">
        <f t="shared" si="15"/>
        <v>73.333333333333329</v>
      </c>
      <c r="K24" s="718">
        <f t="shared" si="11"/>
        <v>60</v>
      </c>
      <c r="L24" s="278"/>
      <c r="M24" s="676">
        <v>1</v>
      </c>
      <c r="N24" s="677">
        <f t="shared" si="19"/>
        <v>6.25</v>
      </c>
      <c r="O24" s="678"/>
      <c r="P24" s="677"/>
      <c r="Q24" s="678">
        <v>12</v>
      </c>
      <c r="R24" s="278">
        <f t="shared" si="21"/>
        <v>27.27272727272727</v>
      </c>
      <c r="S24" s="679">
        <f t="shared" si="12"/>
        <v>13</v>
      </c>
      <c r="T24" s="278">
        <f t="shared" si="16"/>
        <v>21.666666666666668</v>
      </c>
      <c r="U24" s="83"/>
      <c r="V24" s="89"/>
      <c r="W24" s="60"/>
      <c r="X24" s="90"/>
    </row>
    <row r="25" spans="1:24" ht="19.5" customHeight="1">
      <c r="A25" s="160" t="s">
        <v>46</v>
      </c>
      <c r="B25" s="589"/>
      <c r="C25" s="590"/>
      <c r="D25" s="591"/>
      <c r="E25" s="679">
        <v>11</v>
      </c>
      <c r="F25" s="717">
        <f t="shared" si="24"/>
        <v>35.483870967741936</v>
      </c>
      <c r="G25" s="678"/>
      <c r="H25" s="677"/>
      <c r="I25" s="678">
        <v>20</v>
      </c>
      <c r="J25" s="677">
        <f t="shared" si="15"/>
        <v>64.516129032258064</v>
      </c>
      <c r="K25" s="718">
        <f t="shared" si="11"/>
        <v>31</v>
      </c>
      <c r="L25" s="278"/>
      <c r="M25" s="676">
        <v>1</v>
      </c>
      <c r="N25" s="677">
        <f t="shared" si="19"/>
        <v>9.0909090909090917</v>
      </c>
      <c r="O25" s="678"/>
      <c r="P25" s="677"/>
      <c r="Q25" s="678">
        <v>1</v>
      </c>
      <c r="R25" s="278">
        <f t="shared" si="21"/>
        <v>5</v>
      </c>
      <c r="S25" s="679">
        <f t="shared" si="12"/>
        <v>2</v>
      </c>
      <c r="T25" s="278">
        <f t="shared" si="16"/>
        <v>6.4516129032258061</v>
      </c>
      <c r="U25" s="83"/>
      <c r="V25" s="89"/>
      <c r="W25" s="60"/>
      <c r="X25" s="90"/>
    </row>
    <row r="26" spans="1:24" ht="19.5" customHeight="1">
      <c r="A26" s="160" t="s">
        <v>47</v>
      </c>
      <c r="B26" s="589"/>
      <c r="C26" s="590"/>
      <c r="D26" s="591"/>
      <c r="E26" s="679">
        <v>14</v>
      </c>
      <c r="F26" s="717">
        <f t="shared" si="24"/>
        <v>42.424242424242422</v>
      </c>
      <c r="G26" s="678"/>
      <c r="H26" s="677"/>
      <c r="I26" s="678">
        <v>19</v>
      </c>
      <c r="J26" s="677">
        <f t="shared" si="15"/>
        <v>57.575757575757578</v>
      </c>
      <c r="K26" s="718">
        <f t="shared" si="11"/>
        <v>33</v>
      </c>
      <c r="L26" s="278"/>
      <c r="M26" s="676"/>
      <c r="N26" s="677"/>
      <c r="O26" s="678"/>
      <c r="P26" s="677"/>
      <c r="Q26" s="678">
        <v>1</v>
      </c>
      <c r="R26" s="278">
        <f t="shared" si="21"/>
        <v>5.2631578947368416</v>
      </c>
      <c r="S26" s="679">
        <f t="shared" si="12"/>
        <v>1</v>
      </c>
      <c r="T26" s="278">
        <f t="shared" si="16"/>
        <v>3.0303030303030303</v>
      </c>
      <c r="U26" s="83"/>
      <c r="V26" s="89"/>
      <c r="W26" s="60"/>
      <c r="X26" s="90"/>
    </row>
    <row r="27" spans="1:24" ht="19.5" customHeight="1">
      <c r="A27" s="160" t="s">
        <v>48</v>
      </c>
      <c r="B27" s="589"/>
      <c r="C27" s="590"/>
      <c r="D27" s="591"/>
      <c r="E27" s="679">
        <v>10</v>
      </c>
      <c r="F27" s="717">
        <f t="shared" si="24"/>
        <v>32.258064516129032</v>
      </c>
      <c r="G27" s="678"/>
      <c r="H27" s="677"/>
      <c r="I27" s="678">
        <v>21</v>
      </c>
      <c r="J27" s="677">
        <f t="shared" si="15"/>
        <v>67.741935483870961</v>
      </c>
      <c r="K27" s="718">
        <f t="shared" si="11"/>
        <v>31</v>
      </c>
      <c r="L27" s="278"/>
      <c r="M27" s="676"/>
      <c r="N27" s="677"/>
      <c r="O27" s="678"/>
      <c r="P27" s="677"/>
      <c r="Q27" s="678">
        <v>1</v>
      </c>
      <c r="R27" s="278">
        <f t="shared" si="21"/>
        <v>4.7619047619047619</v>
      </c>
      <c r="S27" s="679">
        <f t="shared" si="12"/>
        <v>1</v>
      </c>
      <c r="T27" s="278">
        <f t="shared" si="16"/>
        <v>3.225806451612903</v>
      </c>
      <c r="U27" s="83"/>
      <c r="V27" s="89"/>
      <c r="W27" s="60"/>
      <c r="X27" s="90"/>
    </row>
    <row r="28" spans="1:24" ht="19.5" customHeight="1">
      <c r="A28" s="160" t="s">
        <v>49</v>
      </c>
      <c r="B28" s="589"/>
      <c r="C28" s="590"/>
      <c r="D28" s="591"/>
      <c r="E28" s="679">
        <v>18</v>
      </c>
      <c r="F28" s="717">
        <f t="shared" si="24"/>
        <v>54.54545454545454</v>
      </c>
      <c r="G28" s="678"/>
      <c r="H28" s="677"/>
      <c r="I28" s="678">
        <v>15</v>
      </c>
      <c r="J28" s="677">
        <f t="shared" si="15"/>
        <v>45.454545454545453</v>
      </c>
      <c r="K28" s="718">
        <f t="shared" si="11"/>
        <v>33</v>
      </c>
      <c r="L28" s="278"/>
      <c r="M28" s="676">
        <v>1</v>
      </c>
      <c r="N28" s="677">
        <f t="shared" ref="N28:N29" si="25">M28/E28*100</f>
        <v>5.5555555555555554</v>
      </c>
      <c r="O28" s="678"/>
      <c r="P28" s="677"/>
      <c r="Q28" s="678">
        <v>1</v>
      </c>
      <c r="R28" s="278">
        <f t="shared" si="21"/>
        <v>6.666666666666667</v>
      </c>
      <c r="S28" s="679">
        <f t="shared" si="12"/>
        <v>2</v>
      </c>
      <c r="T28" s="278">
        <f t="shared" si="16"/>
        <v>6.0606060606060606</v>
      </c>
      <c r="U28" s="83"/>
      <c r="V28" s="89"/>
      <c r="W28" s="60"/>
      <c r="X28" s="90"/>
    </row>
    <row r="29" spans="1:24" ht="19.5" customHeight="1">
      <c r="A29" s="161" t="s">
        <v>50</v>
      </c>
      <c r="B29" s="589"/>
      <c r="C29" s="590"/>
      <c r="D29" s="591"/>
      <c r="E29" s="698">
        <v>7</v>
      </c>
      <c r="F29" s="730">
        <f t="shared" si="24"/>
        <v>53.846153846153847</v>
      </c>
      <c r="G29" s="699"/>
      <c r="H29" s="700"/>
      <c r="I29" s="699">
        <v>6</v>
      </c>
      <c r="J29" s="700">
        <f t="shared" si="15"/>
        <v>46.153846153846153</v>
      </c>
      <c r="K29" s="701">
        <f t="shared" si="11"/>
        <v>13</v>
      </c>
      <c r="L29" s="704"/>
      <c r="M29" s="703">
        <v>1</v>
      </c>
      <c r="N29" s="700">
        <f t="shared" si="25"/>
        <v>14.285714285714285</v>
      </c>
      <c r="O29" s="699"/>
      <c r="P29" s="700"/>
      <c r="Q29" s="699">
        <v>1</v>
      </c>
      <c r="R29" s="704">
        <f t="shared" si="21"/>
        <v>16.666666666666664</v>
      </c>
      <c r="S29" s="698">
        <f t="shared" si="12"/>
        <v>2</v>
      </c>
      <c r="T29" s="704">
        <f t="shared" si="16"/>
        <v>15.384615384615385</v>
      </c>
      <c r="U29" s="83"/>
      <c r="V29" s="89"/>
      <c r="W29" s="60"/>
      <c r="X29" s="90"/>
    </row>
    <row r="30" spans="1:24" ht="19.5" customHeight="1">
      <c r="A30" s="161" t="s">
        <v>51</v>
      </c>
      <c r="B30" s="589"/>
      <c r="C30" s="590"/>
      <c r="D30" s="591"/>
      <c r="E30" s="698">
        <v>14</v>
      </c>
      <c r="F30" s="730">
        <f t="shared" si="24"/>
        <v>48.275862068965516</v>
      </c>
      <c r="G30" s="699"/>
      <c r="H30" s="700"/>
      <c r="I30" s="699">
        <v>15</v>
      </c>
      <c r="J30" s="700">
        <f t="shared" si="15"/>
        <v>51.724137931034484</v>
      </c>
      <c r="K30" s="701">
        <f t="shared" si="11"/>
        <v>29</v>
      </c>
      <c r="L30" s="704"/>
      <c r="M30" s="703"/>
      <c r="N30" s="700"/>
      <c r="O30" s="699"/>
      <c r="P30" s="700"/>
      <c r="Q30" s="699">
        <v>2</v>
      </c>
      <c r="R30" s="704">
        <f t="shared" si="21"/>
        <v>13.333333333333334</v>
      </c>
      <c r="S30" s="698">
        <f t="shared" si="12"/>
        <v>2</v>
      </c>
      <c r="T30" s="704">
        <f t="shared" si="16"/>
        <v>6.8965517241379306</v>
      </c>
      <c r="U30" s="83"/>
      <c r="V30" s="89"/>
      <c r="W30" s="60"/>
      <c r="X30" s="90"/>
    </row>
    <row r="31" spans="1:24" ht="19.5" customHeight="1">
      <c r="A31" s="160" t="s">
        <v>52</v>
      </c>
      <c r="B31" s="589"/>
      <c r="C31" s="590"/>
      <c r="D31" s="591"/>
      <c r="E31" s="679">
        <v>12</v>
      </c>
      <c r="F31" s="717">
        <f t="shared" si="24"/>
        <v>48</v>
      </c>
      <c r="G31" s="678"/>
      <c r="H31" s="677"/>
      <c r="I31" s="678">
        <v>13</v>
      </c>
      <c r="J31" s="677">
        <f t="shared" si="15"/>
        <v>52</v>
      </c>
      <c r="K31" s="718">
        <f t="shared" si="11"/>
        <v>25</v>
      </c>
      <c r="L31" s="278"/>
      <c r="M31" s="676"/>
      <c r="N31" s="677"/>
      <c r="O31" s="678"/>
      <c r="P31" s="677"/>
      <c r="Q31" s="678"/>
      <c r="R31" s="278"/>
      <c r="S31" s="679">
        <f t="shared" si="12"/>
        <v>0</v>
      </c>
      <c r="T31" s="278">
        <f t="shared" ref="T31:T48" si="26">S31/I31*100</f>
        <v>0</v>
      </c>
      <c r="U31" s="83"/>
      <c r="V31" s="89"/>
      <c r="W31" s="60"/>
      <c r="X31" s="90"/>
    </row>
    <row r="32" spans="1:24" ht="19.5" customHeight="1" thickBot="1">
      <c r="A32" s="162" t="s">
        <v>53</v>
      </c>
      <c r="B32" s="485"/>
      <c r="C32" s="486"/>
      <c r="D32" s="487"/>
      <c r="E32" s="731">
        <v>36</v>
      </c>
      <c r="F32" s="732">
        <f t="shared" si="24"/>
        <v>59.016393442622949</v>
      </c>
      <c r="G32" s="733"/>
      <c r="H32" s="734"/>
      <c r="I32" s="733">
        <v>25</v>
      </c>
      <c r="J32" s="734">
        <f t="shared" si="15"/>
        <v>40.983606557377051</v>
      </c>
      <c r="K32" s="735">
        <f t="shared" si="11"/>
        <v>61</v>
      </c>
      <c r="L32" s="736"/>
      <c r="M32" s="737">
        <v>1</v>
      </c>
      <c r="N32" s="734">
        <f t="shared" ref="N32:N33" si="27">M32/E32*100</f>
        <v>2.7777777777777777</v>
      </c>
      <c r="O32" s="733"/>
      <c r="P32" s="734"/>
      <c r="Q32" s="733"/>
      <c r="R32" s="736"/>
      <c r="S32" s="731">
        <f t="shared" si="12"/>
        <v>1</v>
      </c>
      <c r="T32" s="736">
        <f t="shared" ref="T32:T33" si="28">S32/K32*100</f>
        <v>1.639344262295082</v>
      </c>
      <c r="U32" s="83"/>
      <c r="V32" s="89"/>
      <c r="W32" s="60"/>
      <c r="X32" s="90"/>
    </row>
    <row r="33" spans="1:24" ht="19.5" customHeight="1">
      <c r="A33" s="738" t="s">
        <v>54</v>
      </c>
      <c r="B33" s="294"/>
      <c r="C33" s="295"/>
      <c r="D33" s="739"/>
      <c r="E33" s="740">
        <v>17</v>
      </c>
      <c r="F33" s="741">
        <f t="shared" si="24"/>
        <v>43.589743589743591</v>
      </c>
      <c r="G33" s="742"/>
      <c r="H33" s="743"/>
      <c r="I33" s="742">
        <v>22</v>
      </c>
      <c r="J33" s="743">
        <f t="shared" si="15"/>
        <v>56.410256410256409</v>
      </c>
      <c r="K33" s="744">
        <f t="shared" si="11"/>
        <v>39</v>
      </c>
      <c r="L33" s="745"/>
      <c r="M33" s="746">
        <v>1</v>
      </c>
      <c r="N33" s="743">
        <f t="shared" si="27"/>
        <v>5.8823529411764701</v>
      </c>
      <c r="O33" s="742"/>
      <c r="P33" s="743"/>
      <c r="Q33" s="742">
        <v>2</v>
      </c>
      <c r="R33" s="745">
        <f>Q33/I33*100</f>
        <v>9.0909090909090917</v>
      </c>
      <c r="S33" s="740">
        <f t="shared" si="12"/>
        <v>3</v>
      </c>
      <c r="T33" s="745">
        <f t="shared" si="28"/>
        <v>7.6923076923076925</v>
      </c>
      <c r="U33" s="83"/>
      <c r="V33" s="89"/>
      <c r="W33" s="60"/>
      <c r="X33" s="90"/>
    </row>
    <row r="34" spans="1:24" ht="19.5" customHeight="1">
      <c r="A34" s="163" t="s">
        <v>55</v>
      </c>
      <c r="B34" s="589"/>
      <c r="C34" s="590"/>
      <c r="D34" s="591"/>
      <c r="E34" s="747">
        <v>14</v>
      </c>
      <c r="F34" s="609">
        <f t="shared" si="24"/>
        <v>93.333333333333329</v>
      </c>
      <c r="G34" s="748"/>
      <c r="H34" s="613"/>
      <c r="I34" s="748">
        <v>1</v>
      </c>
      <c r="J34" s="613">
        <f t="shared" si="15"/>
        <v>6.666666666666667</v>
      </c>
      <c r="K34" s="749">
        <f t="shared" si="11"/>
        <v>15</v>
      </c>
      <c r="L34" s="587"/>
      <c r="M34" s="750"/>
      <c r="N34" s="613"/>
      <c r="O34" s="748"/>
      <c r="P34" s="613"/>
      <c r="Q34" s="748"/>
      <c r="R34" s="587"/>
      <c r="S34" s="747">
        <f t="shared" si="12"/>
        <v>0</v>
      </c>
      <c r="T34" s="587">
        <f t="shared" si="26"/>
        <v>0</v>
      </c>
      <c r="U34" s="83"/>
      <c r="V34" s="89"/>
      <c r="W34" s="60"/>
      <c r="X34" s="90"/>
    </row>
    <row r="35" spans="1:24" ht="19.5" customHeight="1">
      <c r="A35" s="160" t="s">
        <v>56</v>
      </c>
      <c r="B35" s="589"/>
      <c r="C35" s="590"/>
      <c r="D35" s="591"/>
      <c r="E35" s="679">
        <v>11</v>
      </c>
      <c r="F35" s="717">
        <f t="shared" si="24"/>
        <v>28.205128205128204</v>
      </c>
      <c r="G35" s="678"/>
      <c r="H35" s="677"/>
      <c r="I35" s="678">
        <v>28</v>
      </c>
      <c r="J35" s="677">
        <f t="shared" si="15"/>
        <v>71.794871794871796</v>
      </c>
      <c r="K35" s="718">
        <f t="shared" si="11"/>
        <v>39</v>
      </c>
      <c r="L35" s="278"/>
      <c r="M35" s="676"/>
      <c r="N35" s="677"/>
      <c r="O35" s="678"/>
      <c r="P35" s="677"/>
      <c r="Q35" s="678">
        <v>2</v>
      </c>
      <c r="R35" s="278">
        <f>Q35/I35*100</f>
        <v>7.1428571428571423</v>
      </c>
      <c r="S35" s="679">
        <f t="shared" si="12"/>
        <v>2</v>
      </c>
      <c r="T35" s="278">
        <f>S35/K35*100</f>
        <v>5.1282051282051277</v>
      </c>
      <c r="U35" s="83"/>
      <c r="V35" s="89"/>
      <c r="W35" s="60"/>
      <c r="X35" s="90"/>
    </row>
    <row r="36" spans="1:24" ht="19.5" customHeight="1">
      <c r="A36" s="160" t="s">
        <v>57</v>
      </c>
      <c r="B36" s="589"/>
      <c r="C36" s="590"/>
      <c r="D36" s="591"/>
      <c r="E36" s="679">
        <v>11</v>
      </c>
      <c r="F36" s="717">
        <f t="shared" si="24"/>
        <v>47.826086956521742</v>
      </c>
      <c r="G36" s="678"/>
      <c r="H36" s="677"/>
      <c r="I36" s="678">
        <v>12</v>
      </c>
      <c r="J36" s="677">
        <f t="shared" si="15"/>
        <v>52.173913043478258</v>
      </c>
      <c r="K36" s="718">
        <f t="shared" si="11"/>
        <v>23</v>
      </c>
      <c r="L36" s="278"/>
      <c r="M36" s="676"/>
      <c r="N36" s="677"/>
      <c r="O36" s="678"/>
      <c r="P36" s="677"/>
      <c r="Q36" s="678"/>
      <c r="R36" s="278"/>
      <c r="S36" s="679">
        <f t="shared" si="12"/>
        <v>0</v>
      </c>
      <c r="T36" s="278">
        <f t="shared" si="26"/>
        <v>0</v>
      </c>
      <c r="U36" s="83"/>
      <c r="V36" s="89"/>
      <c r="W36" s="60"/>
      <c r="X36" s="90"/>
    </row>
    <row r="37" spans="1:24" ht="19.5" customHeight="1">
      <c r="A37" s="160" t="s">
        <v>58</v>
      </c>
      <c r="B37" s="589"/>
      <c r="C37" s="590"/>
      <c r="D37" s="591"/>
      <c r="E37" s="679">
        <v>10</v>
      </c>
      <c r="F37" s="717">
        <f t="shared" si="24"/>
        <v>28.571428571428569</v>
      </c>
      <c r="G37" s="678"/>
      <c r="H37" s="677"/>
      <c r="I37" s="678">
        <v>25</v>
      </c>
      <c r="J37" s="677">
        <f t="shared" si="15"/>
        <v>71.428571428571431</v>
      </c>
      <c r="K37" s="718">
        <f t="shared" si="11"/>
        <v>35</v>
      </c>
      <c r="L37" s="278"/>
      <c r="M37" s="676"/>
      <c r="N37" s="677"/>
      <c r="O37" s="678"/>
      <c r="P37" s="677"/>
      <c r="Q37" s="678"/>
      <c r="R37" s="278"/>
      <c r="S37" s="679">
        <f t="shared" si="12"/>
        <v>0</v>
      </c>
      <c r="T37" s="278">
        <f t="shared" si="26"/>
        <v>0</v>
      </c>
      <c r="U37" s="83"/>
      <c r="V37" s="89"/>
      <c r="W37" s="60"/>
      <c r="X37" s="90"/>
    </row>
    <row r="38" spans="1:24" ht="19.5" customHeight="1">
      <c r="A38" s="160" t="s">
        <v>59</v>
      </c>
      <c r="B38" s="589"/>
      <c r="C38" s="590"/>
      <c r="D38" s="591"/>
      <c r="E38" s="679">
        <v>14</v>
      </c>
      <c r="F38" s="717">
        <f t="shared" si="24"/>
        <v>53.846153846153847</v>
      </c>
      <c r="G38" s="678"/>
      <c r="H38" s="677"/>
      <c r="I38" s="678">
        <v>12</v>
      </c>
      <c r="J38" s="677">
        <f t="shared" si="15"/>
        <v>46.153846153846153</v>
      </c>
      <c r="K38" s="718">
        <f t="shared" si="11"/>
        <v>26</v>
      </c>
      <c r="L38" s="278"/>
      <c r="M38" s="676">
        <v>2</v>
      </c>
      <c r="N38" s="677">
        <f t="shared" ref="N38:N39" si="29">M38/E38*100</f>
        <v>14.285714285714285</v>
      </c>
      <c r="O38" s="678"/>
      <c r="P38" s="677"/>
      <c r="Q38" s="678">
        <v>2</v>
      </c>
      <c r="R38" s="278">
        <f t="shared" ref="R38:R42" si="30">Q38/I38*100</f>
        <v>16.666666666666664</v>
      </c>
      <c r="S38" s="679">
        <f t="shared" si="12"/>
        <v>4</v>
      </c>
      <c r="T38" s="278">
        <f t="shared" ref="T38:T42" si="31">S38/K38*100</f>
        <v>15.384615384615385</v>
      </c>
      <c r="U38" s="83"/>
      <c r="V38" s="89"/>
      <c r="W38" s="60"/>
      <c r="X38" s="90"/>
    </row>
    <row r="39" spans="1:24" ht="19.5" customHeight="1">
      <c r="A39" s="160" t="s">
        <v>60</v>
      </c>
      <c r="B39" s="589"/>
      <c r="C39" s="590"/>
      <c r="D39" s="591"/>
      <c r="E39" s="679">
        <v>17</v>
      </c>
      <c r="F39" s="717">
        <f t="shared" si="24"/>
        <v>62.962962962962962</v>
      </c>
      <c r="G39" s="678"/>
      <c r="H39" s="677"/>
      <c r="I39" s="678">
        <v>10</v>
      </c>
      <c r="J39" s="677">
        <f t="shared" si="15"/>
        <v>37.037037037037038</v>
      </c>
      <c r="K39" s="718">
        <f t="shared" si="11"/>
        <v>27</v>
      </c>
      <c r="L39" s="278"/>
      <c r="M39" s="676">
        <v>1</v>
      </c>
      <c r="N39" s="677">
        <f t="shared" si="29"/>
        <v>5.8823529411764701</v>
      </c>
      <c r="O39" s="678"/>
      <c r="P39" s="677"/>
      <c r="Q39" s="678">
        <v>1</v>
      </c>
      <c r="R39" s="278">
        <f t="shared" si="30"/>
        <v>10</v>
      </c>
      <c r="S39" s="679">
        <f t="shared" si="12"/>
        <v>2</v>
      </c>
      <c r="T39" s="278">
        <f t="shared" si="31"/>
        <v>7.4074074074074066</v>
      </c>
      <c r="U39" s="83"/>
      <c r="V39" s="89"/>
      <c r="W39" s="60"/>
      <c r="X39" s="90"/>
    </row>
    <row r="40" spans="1:24" ht="19.5" customHeight="1">
      <c r="A40" s="160" t="s">
        <v>61</v>
      </c>
      <c r="B40" s="589"/>
      <c r="C40" s="590"/>
      <c r="D40" s="591"/>
      <c r="E40" s="679">
        <v>0</v>
      </c>
      <c r="F40" s="717">
        <f t="shared" si="24"/>
        <v>0</v>
      </c>
      <c r="G40" s="678"/>
      <c r="H40" s="677"/>
      <c r="I40" s="678">
        <v>55</v>
      </c>
      <c r="J40" s="677">
        <f t="shared" si="15"/>
        <v>100</v>
      </c>
      <c r="K40" s="718">
        <f t="shared" si="11"/>
        <v>55</v>
      </c>
      <c r="L40" s="278"/>
      <c r="M40" s="676"/>
      <c r="N40" s="677"/>
      <c r="O40" s="678"/>
      <c r="P40" s="677"/>
      <c r="Q40" s="678">
        <v>26</v>
      </c>
      <c r="R40" s="278">
        <f t="shared" si="30"/>
        <v>47.272727272727273</v>
      </c>
      <c r="S40" s="679">
        <f t="shared" si="12"/>
        <v>26</v>
      </c>
      <c r="T40" s="278">
        <f t="shared" si="31"/>
        <v>47.272727272727273</v>
      </c>
      <c r="U40" s="83"/>
      <c r="V40" s="89"/>
      <c r="W40" s="60"/>
      <c r="X40" s="90"/>
    </row>
    <row r="41" spans="1:24" ht="19.5" customHeight="1">
      <c r="A41" s="160" t="s">
        <v>62</v>
      </c>
      <c r="B41" s="589"/>
      <c r="C41" s="590"/>
      <c r="D41" s="591"/>
      <c r="E41" s="679">
        <v>10</v>
      </c>
      <c r="F41" s="717">
        <f t="shared" si="24"/>
        <v>47.619047619047613</v>
      </c>
      <c r="G41" s="678"/>
      <c r="H41" s="677"/>
      <c r="I41" s="678">
        <v>11</v>
      </c>
      <c r="J41" s="677">
        <f t="shared" si="15"/>
        <v>52.380952380952387</v>
      </c>
      <c r="K41" s="718">
        <f t="shared" si="11"/>
        <v>21</v>
      </c>
      <c r="L41" s="278"/>
      <c r="M41" s="676">
        <v>1</v>
      </c>
      <c r="N41" s="677">
        <f>M41/E41*100</f>
        <v>10</v>
      </c>
      <c r="O41" s="678"/>
      <c r="P41" s="677"/>
      <c r="Q41" s="678">
        <v>1</v>
      </c>
      <c r="R41" s="278">
        <f t="shared" si="30"/>
        <v>9.0909090909090917</v>
      </c>
      <c r="S41" s="679">
        <f t="shared" si="12"/>
        <v>2</v>
      </c>
      <c r="T41" s="278">
        <f t="shared" si="31"/>
        <v>9.5238095238095237</v>
      </c>
      <c r="U41" s="83"/>
      <c r="V41" s="89"/>
      <c r="W41" s="60"/>
      <c r="X41" s="90"/>
    </row>
    <row r="42" spans="1:24" ht="19.5" customHeight="1" thickBot="1">
      <c r="A42" s="161" t="s">
        <v>63</v>
      </c>
      <c r="B42" s="589"/>
      <c r="C42" s="590"/>
      <c r="D42" s="591"/>
      <c r="E42" s="698">
        <v>8</v>
      </c>
      <c r="F42" s="730">
        <f t="shared" si="24"/>
        <v>24.242424242424242</v>
      </c>
      <c r="G42" s="699"/>
      <c r="H42" s="700"/>
      <c r="I42" s="699">
        <v>25</v>
      </c>
      <c r="J42" s="700">
        <f t="shared" si="15"/>
        <v>75.757575757575751</v>
      </c>
      <c r="K42" s="701">
        <f t="shared" si="11"/>
        <v>33</v>
      </c>
      <c r="L42" s="704"/>
      <c r="M42" s="703"/>
      <c r="N42" s="700"/>
      <c r="O42" s="699"/>
      <c r="P42" s="700"/>
      <c r="Q42" s="699">
        <v>1</v>
      </c>
      <c r="R42" s="704">
        <f t="shared" si="30"/>
        <v>4</v>
      </c>
      <c r="S42" s="698">
        <f t="shared" si="12"/>
        <v>1</v>
      </c>
      <c r="T42" s="704">
        <f t="shared" si="31"/>
        <v>3.0303030303030303</v>
      </c>
      <c r="U42" s="83"/>
      <c r="V42" s="89"/>
      <c r="W42" s="60"/>
      <c r="X42" s="90"/>
    </row>
    <row r="43" spans="1:24" ht="19.5" customHeight="1">
      <c r="A43" s="266" t="s">
        <v>66</v>
      </c>
      <c r="B43" s="497">
        <f>SUM(B44:B45)</f>
        <v>5356</v>
      </c>
      <c r="C43" s="498">
        <f>SUM(C44:C45)</f>
        <v>240</v>
      </c>
      <c r="D43" s="499">
        <f>SUM(D44:D45)</f>
        <v>388</v>
      </c>
      <c r="E43" s="497">
        <f>SUM(E44:E45)</f>
        <v>171</v>
      </c>
      <c r="F43" s="707">
        <f>E43/K43*100</f>
        <v>67.322834645669289</v>
      </c>
      <c r="G43" s="710">
        <f>SUM(G44:G45)</f>
        <v>9</v>
      </c>
      <c r="H43" s="709">
        <f>G43/K43*100</f>
        <v>3.5433070866141732</v>
      </c>
      <c r="I43" s="499">
        <f>SUM(I44:I45)</f>
        <v>74</v>
      </c>
      <c r="J43" s="709">
        <f t="shared" si="15"/>
        <v>29.133858267716533</v>
      </c>
      <c r="K43" s="499">
        <f>SUM(K44:K45)</f>
        <v>254</v>
      </c>
      <c r="L43" s="712">
        <f t="shared" ref="L43:L46" si="32">+K43/D43*100</f>
        <v>65.463917525773198</v>
      </c>
      <c r="M43" s="497">
        <f>SUM(M44:M45)</f>
        <v>18</v>
      </c>
      <c r="N43" s="712">
        <f>M43/E43*100</f>
        <v>10.526315789473683</v>
      </c>
      <c r="O43" s="710">
        <f>SUM(O44:O45)</f>
        <v>1</v>
      </c>
      <c r="P43" s="709">
        <f>O43/G43*100</f>
        <v>11.111111111111111</v>
      </c>
      <c r="Q43" s="751">
        <v>0</v>
      </c>
      <c r="R43" s="752">
        <v>0</v>
      </c>
      <c r="S43" s="499">
        <f>SUM(S44:S45)</f>
        <v>21</v>
      </c>
      <c r="T43" s="713">
        <f>S43/K43*100</f>
        <v>8.2677165354330722</v>
      </c>
      <c r="U43" s="31"/>
      <c r="V43" s="89"/>
      <c r="W43" s="60"/>
      <c r="X43" s="90"/>
    </row>
    <row r="44" spans="1:24" ht="19.5" customHeight="1">
      <c r="A44" s="569" t="s">
        <v>67</v>
      </c>
      <c r="B44" s="502">
        <v>843</v>
      </c>
      <c r="C44" s="503">
        <v>60</v>
      </c>
      <c r="D44" s="720">
        <v>60</v>
      </c>
      <c r="E44" s="691">
        <v>0</v>
      </c>
      <c r="F44" s="288">
        <v>0</v>
      </c>
      <c r="G44" s="690">
        <v>0</v>
      </c>
      <c r="H44" s="689">
        <v>0</v>
      </c>
      <c r="I44" s="690">
        <v>60</v>
      </c>
      <c r="J44" s="689">
        <f t="shared" si="15"/>
        <v>100</v>
      </c>
      <c r="K44" s="721">
        <f t="shared" si="11"/>
        <v>60</v>
      </c>
      <c r="L44" s="753">
        <f t="shared" si="32"/>
        <v>100</v>
      </c>
      <c r="M44" s="688">
        <v>0</v>
      </c>
      <c r="N44" s="689">
        <v>0</v>
      </c>
      <c r="O44" s="690">
        <v>0</v>
      </c>
      <c r="P44" s="689">
        <v>0</v>
      </c>
      <c r="Q44" s="690">
        <v>0</v>
      </c>
      <c r="R44" s="261">
        <v>0</v>
      </c>
      <c r="S44" s="679">
        <f t="shared" si="12"/>
        <v>0</v>
      </c>
      <c r="T44" s="261">
        <v>0</v>
      </c>
      <c r="U44" s="83"/>
      <c r="V44" s="89"/>
      <c r="W44" s="60"/>
      <c r="X44" s="90"/>
    </row>
    <row r="45" spans="1:24" ht="19.5" customHeight="1">
      <c r="A45" s="572" t="s">
        <v>68</v>
      </c>
      <c r="B45" s="573">
        <f>SUM(B46:B48)</f>
        <v>4513</v>
      </c>
      <c r="C45" s="574">
        <f>SUM(C46:C48)</f>
        <v>180</v>
      </c>
      <c r="D45" s="575">
        <f>SUM(D46:D48)</f>
        <v>328</v>
      </c>
      <c r="E45" s="573">
        <f>SUM(E46:E48)</f>
        <v>171</v>
      </c>
      <c r="F45" s="754">
        <f>E45/K45*100</f>
        <v>88.144329896907209</v>
      </c>
      <c r="G45" s="755">
        <f>SUM(G46:G48)</f>
        <v>9</v>
      </c>
      <c r="H45" s="756">
        <f>G45/K45*100</f>
        <v>4.6391752577319592</v>
      </c>
      <c r="I45" s="757">
        <f>SUM(I46:I48)</f>
        <v>14</v>
      </c>
      <c r="J45" s="756">
        <f>I45/K45*100</f>
        <v>7.216494845360824</v>
      </c>
      <c r="K45" s="575">
        <f>SUM(K46:K48)</f>
        <v>194</v>
      </c>
      <c r="L45" s="753">
        <f t="shared" si="32"/>
        <v>59.146341463414629</v>
      </c>
      <c r="M45" s="573">
        <f>SUM(M46:M48)</f>
        <v>18</v>
      </c>
      <c r="N45" s="753">
        <f>M45/E45*100</f>
        <v>10.526315789473683</v>
      </c>
      <c r="O45" s="718">
        <f>SUM(O46:O48)</f>
        <v>1</v>
      </c>
      <c r="P45" s="756">
        <f>O45/G45*100</f>
        <v>11.111111111111111</v>
      </c>
      <c r="Q45" s="679">
        <v>0</v>
      </c>
      <c r="R45" s="758">
        <v>0</v>
      </c>
      <c r="S45" s="575">
        <f>SUM(S46:S48)</f>
        <v>21</v>
      </c>
      <c r="T45" s="719">
        <f>S45/K45*100</f>
        <v>10.824742268041238</v>
      </c>
      <c r="U45" s="91"/>
      <c r="V45" s="89"/>
      <c r="W45" s="60"/>
      <c r="X45" s="90"/>
    </row>
    <row r="46" spans="1:24" ht="19.5" customHeight="1">
      <c r="A46" s="61" t="s">
        <v>69</v>
      </c>
      <c r="B46" s="133">
        <f>4234+266+2+10+1</f>
        <v>4513</v>
      </c>
      <c r="C46" s="134">
        <v>180</v>
      </c>
      <c r="D46" s="135">
        <v>328</v>
      </c>
      <c r="E46" s="670">
        <v>171</v>
      </c>
      <c r="F46" s="671">
        <f>E46/K46*100</f>
        <v>90</v>
      </c>
      <c r="G46" s="672">
        <v>9</v>
      </c>
      <c r="H46" s="673">
        <f>G46/K46*100</f>
        <v>4.7368421052631584</v>
      </c>
      <c r="I46" s="672">
        <v>10</v>
      </c>
      <c r="J46" s="673">
        <f t="shared" si="15"/>
        <v>5.2631578947368416</v>
      </c>
      <c r="K46" s="674">
        <f t="shared" si="11"/>
        <v>190</v>
      </c>
      <c r="L46" s="759">
        <f t="shared" si="32"/>
        <v>57.926829268292678</v>
      </c>
      <c r="M46" s="760">
        <v>18</v>
      </c>
      <c r="N46" s="673">
        <f>M46/E46*100</f>
        <v>10.526315789473683</v>
      </c>
      <c r="O46" s="672">
        <v>1</v>
      </c>
      <c r="P46" s="673">
        <f>O46/G46*100</f>
        <v>11.111111111111111</v>
      </c>
      <c r="Q46" s="672">
        <v>2</v>
      </c>
      <c r="R46" s="675">
        <f>Q46/I46*100</f>
        <v>20</v>
      </c>
      <c r="S46" s="670">
        <f t="shared" si="12"/>
        <v>21</v>
      </c>
      <c r="T46" s="675">
        <f>S46/K46*100</f>
        <v>11.052631578947368</v>
      </c>
      <c r="U46" s="83"/>
      <c r="V46" s="89"/>
      <c r="W46" s="60"/>
      <c r="X46" s="90"/>
    </row>
    <row r="47" spans="1:24" ht="19.5" customHeight="1">
      <c r="A47" s="61" t="s">
        <v>70</v>
      </c>
      <c r="B47" s="133"/>
      <c r="C47" s="134"/>
      <c r="D47" s="135"/>
      <c r="E47" s="761"/>
      <c r="F47" s="762"/>
      <c r="G47" s="763"/>
      <c r="H47" s="764"/>
      <c r="I47" s="763">
        <v>1</v>
      </c>
      <c r="J47" s="764">
        <f t="shared" si="15"/>
        <v>100</v>
      </c>
      <c r="K47" s="765">
        <f t="shared" si="11"/>
        <v>1</v>
      </c>
      <c r="L47" s="766"/>
      <c r="M47" s="767"/>
      <c r="N47" s="764"/>
      <c r="O47" s="763"/>
      <c r="P47" s="764"/>
      <c r="Q47" s="763"/>
      <c r="R47" s="766"/>
      <c r="S47" s="761">
        <f t="shared" si="12"/>
        <v>0</v>
      </c>
      <c r="T47" s="766">
        <f t="shared" si="26"/>
        <v>0</v>
      </c>
      <c r="U47" s="92"/>
      <c r="V47" s="93"/>
      <c r="W47" s="94"/>
      <c r="X47" s="95"/>
    </row>
    <row r="48" spans="1:24" ht="19.5" customHeight="1" thickBot="1">
      <c r="A48" s="62" t="s">
        <v>71</v>
      </c>
      <c r="B48" s="528"/>
      <c r="C48" s="529"/>
      <c r="D48" s="680"/>
      <c r="E48" s="670"/>
      <c r="F48" s="671"/>
      <c r="G48" s="672"/>
      <c r="H48" s="673"/>
      <c r="I48" s="672">
        <v>3</v>
      </c>
      <c r="J48" s="673">
        <f t="shared" si="15"/>
        <v>100</v>
      </c>
      <c r="K48" s="674">
        <f t="shared" si="11"/>
        <v>3</v>
      </c>
      <c r="L48" s="675"/>
      <c r="M48" s="760"/>
      <c r="N48" s="673"/>
      <c r="O48" s="672"/>
      <c r="P48" s="673"/>
      <c r="Q48" s="672"/>
      <c r="R48" s="675"/>
      <c r="S48" s="670">
        <f t="shared" si="12"/>
        <v>0</v>
      </c>
      <c r="T48" s="675">
        <f t="shared" si="26"/>
        <v>0</v>
      </c>
      <c r="U48" s="83"/>
      <c r="V48" s="89"/>
      <c r="W48" s="60"/>
      <c r="X48" s="90"/>
    </row>
    <row r="49" spans="1:24" ht="19.5" customHeight="1">
      <c r="A49" s="266" t="s">
        <v>72</v>
      </c>
      <c r="B49" s="404">
        <f>SUM(B50)</f>
        <v>496</v>
      </c>
      <c r="C49" s="295">
        <f>SUM(C50)</f>
        <v>48</v>
      </c>
      <c r="D49" s="405">
        <f>SUM(D50)</f>
        <v>48</v>
      </c>
      <c r="E49" s="654">
        <v>0</v>
      </c>
      <c r="F49" s="768">
        <v>0</v>
      </c>
      <c r="G49" s="653">
        <v>0</v>
      </c>
      <c r="H49" s="769">
        <v>0</v>
      </c>
      <c r="I49" s="770">
        <f>SUM(I50)</f>
        <v>48</v>
      </c>
      <c r="J49" s="771">
        <f>I49/K49*100</f>
        <v>100</v>
      </c>
      <c r="K49" s="296">
        <f>SUM(I49,E49,G49)</f>
        <v>48</v>
      </c>
      <c r="L49" s="711">
        <f t="shared" ref="L49:L51" si="33">+K49/D49*100</f>
        <v>100</v>
      </c>
      <c r="M49" s="654">
        <v>0</v>
      </c>
      <c r="N49" s="768">
        <v>0</v>
      </c>
      <c r="O49" s="653">
        <v>0</v>
      </c>
      <c r="P49" s="769">
        <v>0</v>
      </c>
      <c r="Q49" s="652">
        <v>0</v>
      </c>
      <c r="R49" s="772">
        <v>0</v>
      </c>
      <c r="S49" s="652">
        <f t="shared" si="12"/>
        <v>0</v>
      </c>
      <c r="T49" s="772">
        <v>0</v>
      </c>
      <c r="U49" s="96"/>
      <c r="V49" s="89"/>
      <c r="W49" s="60"/>
      <c r="X49" s="90"/>
    </row>
    <row r="50" spans="1:24" ht="19.5" customHeight="1" thickBot="1">
      <c r="A50" s="275" t="s">
        <v>73</v>
      </c>
      <c r="B50" s="634">
        <v>496</v>
      </c>
      <c r="C50" s="635">
        <v>48</v>
      </c>
      <c r="D50" s="773">
        <v>48</v>
      </c>
      <c r="E50" s="774">
        <v>0</v>
      </c>
      <c r="F50" s="775">
        <v>0</v>
      </c>
      <c r="G50" s="776">
        <v>0</v>
      </c>
      <c r="H50" s="777">
        <v>0</v>
      </c>
      <c r="I50" s="776">
        <v>48</v>
      </c>
      <c r="J50" s="778">
        <f>I50/K50*100</f>
        <v>100</v>
      </c>
      <c r="K50" s="779">
        <f t="shared" si="11"/>
        <v>48</v>
      </c>
      <c r="L50" s="780">
        <f t="shared" si="33"/>
        <v>100</v>
      </c>
      <c r="M50" s="774">
        <v>0</v>
      </c>
      <c r="N50" s="775">
        <v>0</v>
      </c>
      <c r="O50" s="776">
        <v>0</v>
      </c>
      <c r="P50" s="777">
        <v>0</v>
      </c>
      <c r="Q50" s="776">
        <v>1</v>
      </c>
      <c r="R50" s="781">
        <f>Q50/I50*100</f>
        <v>2.083333333333333</v>
      </c>
      <c r="S50" s="782">
        <f t="shared" si="12"/>
        <v>1</v>
      </c>
      <c r="T50" s="781">
        <f>S50/K50*100</f>
        <v>2.083333333333333</v>
      </c>
      <c r="U50" s="83"/>
      <c r="V50" s="89"/>
      <c r="W50" s="60"/>
      <c r="X50" s="90"/>
    </row>
    <row r="51" spans="1:24" s="15" customFormat="1" ht="21.95" customHeight="1" thickBot="1">
      <c r="A51" s="376" t="s">
        <v>76</v>
      </c>
      <c r="B51" s="485">
        <f>SUM(B6,B14,B17,B21,B43,B49)</f>
        <v>13968</v>
      </c>
      <c r="C51" s="486">
        <f>SUM(C6,C14,C17,C21,C43,C49)</f>
        <v>2768</v>
      </c>
      <c r="D51" s="493">
        <f>SUM(D6,D14,D17,D21,D43,D49)</f>
        <v>3783</v>
      </c>
      <c r="E51" s="485">
        <f>SUM(E6,E14,E17,E21,E43,E49)</f>
        <v>1377</v>
      </c>
      <c r="F51" s="488">
        <f>E51/K51*100</f>
        <v>45.415567282321902</v>
      </c>
      <c r="G51" s="489">
        <f>SUM(G6,G14,G17,G21,G43,G49)</f>
        <v>861</v>
      </c>
      <c r="H51" s="490">
        <f>G51/K51*100</f>
        <v>28.397097625329813</v>
      </c>
      <c r="I51" s="491">
        <f>SUM(I6,I14,I17,I21,I43,I49)</f>
        <v>794</v>
      </c>
      <c r="J51" s="492">
        <f>I51/K51*100</f>
        <v>26.187335092348285</v>
      </c>
      <c r="K51" s="491">
        <f>SUM(K6,K14,K17,K21,K43,K49)</f>
        <v>3032</v>
      </c>
      <c r="L51" s="492">
        <f t="shared" si="33"/>
        <v>80.14803066349458</v>
      </c>
      <c r="M51" s="485">
        <f>SUM(M6,M14,M17,M21,M43,M49)</f>
        <v>111</v>
      </c>
      <c r="N51" s="492">
        <f>M51/E51*100</f>
        <v>8.0610021786492378</v>
      </c>
      <c r="O51" s="489">
        <f>SUM(O6,O14,O17,O21,O43,O49)</f>
        <v>130</v>
      </c>
      <c r="P51" s="490">
        <f>O51/G51*100</f>
        <v>15.098722415795587</v>
      </c>
      <c r="Q51" s="493">
        <f>SUM(Q6,Q14,Q17,Q21,Q43,Q49)</f>
        <v>84</v>
      </c>
      <c r="R51" s="495">
        <f>Q51/I51*100</f>
        <v>10.579345088161208</v>
      </c>
      <c r="S51" s="485">
        <f>SUM(S6,S14,S17,S21,S43,S49)</f>
        <v>329</v>
      </c>
      <c r="T51" s="495">
        <f>S51/K51*100</f>
        <v>10.850923482849604</v>
      </c>
      <c r="U51" s="31"/>
      <c r="W51" s="97"/>
      <c r="X51" s="98"/>
    </row>
    <row r="52" spans="1:24" ht="89.45" customHeight="1">
      <c r="A52" s="927" t="s">
        <v>82</v>
      </c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O52" s="927"/>
      <c r="P52" s="927"/>
      <c r="Q52" s="927"/>
      <c r="R52" s="927"/>
      <c r="S52" s="927"/>
      <c r="T52" s="927"/>
      <c r="U52" s="99"/>
      <c r="V52" s="63"/>
      <c r="W52" s="100"/>
      <c r="X52" s="101"/>
    </row>
    <row r="53" spans="1:24" ht="22.5" customHeight="1">
      <c r="A53" s="16" t="s">
        <v>77</v>
      </c>
      <c r="B53" s="17"/>
      <c r="C53" s="17"/>
      <c r="D53" s="17"/>
      <c r="E53" s="17"/>
      <c r="F53" s="18"/>
      <c r="G53" s="19"/>
      <c r="H53" s="18"/>
      <c r="I53" s="17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</row>
  </sheetData>
  <mergeCells count="19">
    <mergeCell ref="A52:T52"/>
    <mergeCell ref="V3:V5"/>
    <mergeCell ref="W3:W5"/>
    <mergeCell ref="X3:X5"/>
    <mergeCell ref="E4:F4"/>
    <mergeCell ref="G4:H4"/>
    <mergeCell ref="I4:J4"/>
    <mergeCell ref="M4:N4"/>
    <mergeCell ref="O4:P4"/>
    <mergeCell ref="Q4:R4"/>
    <mergeCell ref="A1:T1"/>
    <mergeCell ref="A3:A5"/>
    <mergeCell ref="B3:B5"/>
    <mergeCell ref="C3:C5"/>
    <mergeCell ref="D3:D5"/>
    <mergeCell ref="E3:J3"/>
    <mergeCell ref="K3:L4"/>
    <mergeCell ref="M3:R3"/>
    <mergeCell ref="S3:T4"/>
  </mergeCells>
  <printOptions horizontalCentered="1"/>
  <pageMargins left="0.35433070866141736" right="0.31496062992125984" top="0.4" bottom="0.19685039370078741" header="0.15748031496062992" footer="0.15748031496062992"/>
  <pageSetup paperSize="9" scale="76" firstPageNumber="7" orientation="landscape" useFirstPageNumber="1" r:id="rId1"/>
  <headerFooter>
    <oddFooter>&amp;L&amp;"TH SarabunPSK,Regular"&amp;8&amp;K00+000&amp;Z&amp;F&amp;R&amp;"TH SarabunPSK,Regular"&amp;16&amp;K00+000&amp;P</oddFooter>
  </headerFooter>
  <rowBreaks count="1" manualBreakCount="1">
    <brk id="3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54"/>
  <sheetViews>
    <sheetView showZeros="0" view="pageBreakPreview" topLeftCell="A19" zoomScaleNormal="85" zoomScaleSheetLayoutView="100" zoomScalePageLayoutView="85" workbookViewId="0">
      <selection activeCell="A35" sqref="A35"/>
    </sheetView>
  </sheetViews>
  <sheetFormatPr defaultColWidth="8.85546875" defaultRowHeight="15"/>
  <cols>
    <col min="1" max="1" width="29" style="20" customWidth="1"/>
    <col min="2" max="2" width="9.85546875" style="64" customWidth="1"/>
    <col min="3" max="3" width="8.42578125" style="64" customWidth="1"/>
    <col min="4" max="4" width="8.85546875" style="64" customWidth="1"/>
    <col min="5" max="5" width="6.140625" style="19" customWidth="1"/>
    <col min="6" max="6" width="8.140625" style="18" customWidth="1"/>
    <col min="7" max="7" width="6.140625" style="1" customWidth="1"/>
    <col min="8" max="8" width="8.42578125" style="1" customWidth="1"/>
    <col min="9" max="9" width="5.28515625" style="19" customWidth="1"/>
    <col min="10" max="10" width="7.5703125" style="18" customWidth="1"/>
    <col min="11" max="11" width="8.28515625" style="19" customWidth="1"/>
    <col min="12" max="12" width="7.7109375" style="18" customWidth="1"/>
    <col min="13" max="13" width="5.42578125" style="19" customWidth="1"/>
    <col min="14" max="14" width="8.140625" style="18" customWidth="1"/>
    <col min="15" max="15" width="5.42578125" style="19" customWidth="1"/>
    <col min="16" max="16" width="8.42578125" style="18" customWidth="1"/>
    <col min="17" max="17" width="5.140625" style="19" customWidth="1"/>
    <col min="18" max="18" width="7.85546875" style="18" customWidth="1"/>
    <col min="19" max="19" width="8.7109375" style="19" customWidth="1"/>
    <col min="20" max="20" width="8" style="18" customWidth="1"/>
    <col min="21" max="16384" width="8.85546875" style="1"/>
  </cols>
  <sheetData>
    <row r="1" spans="1:20" ht="27.75" customHeight="1">
      <c r="A1" s="928" t="s">
        <v>100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</row>
    <row r="2" spans="1:20" ht="21" customHeight="1" thickBot="1">
      <c r="A2" s="108" t="s">
        <v>1</v>
      </c>
      <c r="B2" s="56"/>
      <c r="C2" s="56"/>
      <c r="D2" s="56"/>
      <c r="E2" s="32">
        <f>SUM(E7:E49)</f>
        <v>2590</v>
      </c>
      <c r="F2" s="33">
        <f>E2/K2*100</f>
        <v>47.357835070396781</v>
      </c>
      <c r="G2" s="109">
        <f>SUM(G7:G49)</f>
        <v>1647</v>
      </c>
      <c r="H2" s="110">
        <f t="shared" ref="H2" si="0">G2/K2*100</f>
        <v>30.115194733955018</v>
      </c>
      <c r="I2" s="32">
        <f>SUM(I7:I49)</f>
        <v>1232</v>
      </c>
      <c r="J2" s="33">
        <f>I2/K2*100</f>
        <v>22.5269701956482</v>
      </c>
      <c r="K2" s="32">
        <f>SUM(K7:K49)</f>
        <v>5469</v>
      </c>
      <c r="L2" s="33"/>
      <c r="M2" s="32">
        <f>SUM(M7:M49)</f>
        <v>139</v>
      </c>
      <c r="N2" s="33">
        <f t="shared" ref="N2" si="1">M2/E2*100</f>
        <v>5.3667953667953672</v>
      </c>
      <c r="O2" s="32">
        <f>SUM(O7:O49)</f>
        <v>273</v>
      </c>
      <c r="P2" s="33">
        <f t="shared" ref="P2" si="2">O2/G2*100</f>
        <v>16.575591985428051</v>
      </c>
      <c r="Q2" s="32">
        <f>SUM(Q7:Q49)</f>
        <v>168</v>
      </c>
      <c r="R2" s="33">
        <f>Q2/I2*100</f>
        <v>13.636363636363635</v>
      </c>
      <c r="S2" s="32">
        <f>SUM(S7:S49)</f>
        <v>580</v>
      </c>
      <c r="T2" s="33">
        <f t="shared" ref="T2" si="3">S2/K2*100</f>
        <v>10.60522947522399</v>
      </c>
    </row>
    <row r="3" spans="1:20" ht="48.75" customHeight="1" thickBot="1">
      <c r="A3" s="950" t="s">
        <v>2</v>
      </c>
      <c r="B3" s="966" t="s">
        <v>3</v>
      </c>
      <c r="C3" s="968" t="s">
        <v>4</v>
      </c>
      <c r="D3" s="955" t="s">
        <v>5</v>
      </c>
      <c r="E3" s="958" t="s">
        <v>6</v>
      </c>
      <c r="F3" s="958"/>
      <c r="G3" s="958"/>
      <c r="H3" s="958"/>
      <c r="I3" s="958"/>
      <c r="J3" s="958"/>
      <c r="K3" s="937" t="s">
        <v>7</v>
      </c>
      <c r="L3" s="923"/>
      <c r="M3" s="958" t="s">
        <v>81</v>
      </c>
      <c r="N3" s="958"/>
      <c r="O3" s="958"/>
      <c r="P3" s="958"/>
      <c r="Q3" s="958"/>
      <c r="R3" s="958"/>
      <c r="S3" s="937" t="s">
        <v>7</v>
      </c>
      <c r="T3" s="923"/>
    </row>
    <row r="4" spans="1:20" ht="21.75" customHeight="1" thickBot="1">
      <c r="A4" s="951"/>
      <c r="B4" s="967"/>
      <c r="C4" s="969"/>
      <c r="D4" s="956"/>
      <c r="E4" s="958" t="s">
        <v>8</v>
      </c>
      <c r="F4" s="958"/>
      <c r="G4" s="965" t="s">
        <v>9</v>
      </c>
      <c r="H4" s="959"/>
      <c r="I4" s="958" t="s">
        <v>10</v>
      </c>
      <c r="J4" s="958"/>
      <c r="K4" s="960"/>
      <c r="L4" s="961"/>
      <c r="M4" s="958" t="s">
        <v>8</v>
      </c>
      <c r="N4" s="958"/>
      <c r="O4" s="965" t="s">
        <v>9</v>
      </c>
      <c r="P4" s="959"/>
      <c r="Q4" s="958" t="s">
        <v>10</v>
      </c>
      <c r="R4" s="958"/>
      <c r="S4" s="960"/>
      <c r="T4" s="961"/>
    </row>
    <row r="5" spans="1:20" ht="57" customHeight="1" thickBot="1">
      <c r="A5" s="952"/>
      <c r="B5" s="982"/>
      <c r="C5" s="983"/>
      <c r="D5" s="956"/>
      <c r="E5" s="111" t="s">
        <v>11</v>
      </c>
      <c r="F5" s="112" t="s">
        <v>12</v>
      </c>
      <c r="G5" s="113" t="s">
        <v>13</v>
      </c>
      <c r="H5" s="114" t="s">
        <v>14</v>
      </c>
      <c r="I5" s="115" t="s">
        <v>15</v>
      </c>
      <c r="J5" s="116" t="s">
        <v>16</v>
      </c>
      <c r="K5" s="117" t="s">
        <v>17</v>
      </c>
      <c r="L5" s="112" t="s">
        <v>18</v>
      </c>
      <c r="M5" s="111" t="s">
        <v>19</v>
      </c>
      <c r="N5" s="112" t="s">
        <v>20</v>
      </c>
      <c r="O5" s="118" t="s">
        <v>21</v>
      </c>
      <c r="P5" s="116" t="s">
        <v>22</v>
      </c>
      <c r="Q5" s="115" t="s">
        <v>23</v>
      </c>
      <c r="R5" s="112" t="s">
        <v>24</v>
      </c>
      <c r="S5" s="118" t="s">
        <v>25</v>
      </c>
      <c r="T5" s="119" t="s">
        <v>26</v>
      </c>
    </row>
    <row r="6" spans="1:20" s="15" customFormat="1" ht="21.95" customHeight="1">
      <c r="A6" s="783" t="s">
        <v>27</v>
      </c>
      <c r="B6" s="294">
        <f>SUM(B7:B8)</f>
        <v>319</v>
      </c>
      <c r="C6" s="295">
        <f>SUM(C7:C8)</f>
        <v>60</v>
      </c>
      <c r="D6" s="739">
        <f>SUM(D7:D8)</f>
        <v>79</v>
      </c>
      <c r="E6" s="299">
        <f t="shared" ref="E6" si="4">SUM(E7:E8)</f>
        <v>18</v>
      </c>
      <c r="F6" s="332">
        <f>E6/K6*100</f>
        <v>26.47058823529412</v>
      </c>
      <c r="G6" s="784">
        <f t="shared" ref="G6" si="5">SUM(G7:G8)</f>
        <v>33</v>
      </c>
      <c r="H6" s="785">
        <f t="shared" ref="H6" si="6">G6/K6*100</f>
        <v>48.529411764705884</v>
      </c>
      <c r="I6" s="299">
        <f t="shared" ref="I6" si="7">SUM(I7:I8)</f>
        <v>17</v>
      </c>
      <c r="J6" s="465">
        <f t="shared" ref="J6" si="8">I6/K6*100</f>
        <v>25</v>
      </c>
      <c r="K6" s="464">
        <f t="shared" ref="K6" si="9">SUM(K7:K8)</f>
        <v>68</v>
      </c>
      <c r="L6" s="332">
        <f>+K6/D6*100</f>
        <v>86.075949367088612</v>
      </c>
      <c r="M6" s="297">
        <f t="shared" ref="M6" si="10">SUM(M7:M8)</f>
        <v>3</v>
      </c>
      <c r="N6" s="332">
        <f>M6/E6*100</f>
        <v>16.666666666666664</v>
      </c>
      <c r="O6" s="464">
        <f t="shared" ref="O6" si="11">SUM(O7:O8)</f>
        <v>8</v>
      </c>
      <c r="P6" s="465">
        <f t="shared" ref="P6" si="12">O6/G6*100</f>
        <v>24.242424242424242</v>
      </c>
      <c r="Q6" s="167">
        <v>0</v>
      </c>
      <c r="R6" s="168">
        <v>0</v>
      </c>
      <c r="S6" s="464">
        <f t="shared" ref="S6" si="13">SUM(S7:S8)</f>
        <v>11</v>
      </c>
      <c r="T6" s="786">
        <f t="shared" ref="T6" si="14">S6/K6*100</f>
        <v>16.176470588235293</v>
      </c>
    </row>
    <row r="7" spans="1:20" ht="21.95" customHeight="1">
      <c r="A7" s="787" t="s">
        <v>28</v>
      </c>
      <c r="B7" s="602">
        <f>171+42+18+5+3+80</f>
        <v>319</v>
      </c>
      <c r="C7" s="603">
        <v>60</v>
      </c>
      <c r="D7" s="788">
        <f>22+10+4+3+40</f>
        <v>79</v>
      </c>
      <c r="E7" s="175">
        <v>18</v>
      </c>
      <c r="F7" s="182">
        <f>E7/K7*100</f>
        <v>26.47058823529412</v>
      </c>
      <c r="G7" s="789">
        <v>33</v>
      </c>
      <c r="H7" s="790">
        <f>G7/K7*100</f>
        <v>48.529411764705884</v>
      </c>
      <c r="I7" s="175">
        <v>17</v>
      </c>
      <c r="J7" s="184">
        <f>I7/K7*100</f>
        <v>25</v>
      </c>
      <c r="K7" s="183">
        <f>SUM(I7,E7,G7)</f>
        <v>68</v>
      </c>
      <c r="L7" s="182">
        <f>+K7/D7*100</f>
        <v>86.075949367088612</v>
      </c>
      <c r="M7" s="173">
        <v>3</v>
      </c>
      <c r="N7" s="182">
        <f>M7/E7*100</f>
        <v>16.666666666666664</v>
      </c>
      <c r="O7" s="183">
        <v>8</v>
      </c>
      <c r="P7" s="184">
        <f>O7/G7*100</f>
        <v>24.242424242424242</v>
      </c>
      <c r="Q7" s="175">
        <v>0</v>
      </c>
      <c r="R7" s="182">
        <v>0</v>
      </c>
      <c r="S7" s="183">
        <f>SUM(M7,O7,Q7)</f>
        <v>11</v>
      </c>
      <c r="T7" s="185">
        <f>S7/K7*100</f>
        <v>16.176470588235293</v>
      </c>
    </row>
    <row r="8" spans="1:20" ht="45" customHeight="1" thickBot="1">
      <c r="A8" s="791" t="s">
        <v>101</v>
      </c>
      <c r="B8" s="792" t="s">
        <v>102</v>
      </c>
      <c r="C8" s="793" t="s">
        <v>102</v>
      </c>
      <c r="D8" s="794" t="s">
        <v>102</v>
      </c>
      <c r="E8" s="316" t="s">
        <v>102</v>
      </c>
      <c r="F8" s="313" t="s">
        <v>102</v>
      </c>
      <c r="G8" s="795" t="s">
        <v>102</v>
      </c>
      <c r="H8" s="796" t="s">
        <v>102</v>
      </c>
      <c r="I8" s="316" t="s">
        <v>102</v>
      </c>
      <c r="J8" s="315" t="s">
        <v>102</v>
      </c>
      <c r="K8" s="314">
        <f t="shared" ref="K8" si="15">SUM(I8:J8,E8,G8)</f>
        <v>0</v>
      </c>
      <c r="L8" s="313" t="s">
        <v>102</v>
      </c>
      <c r="M8" s="312" t="s">
        <v>102</v>
      </c>
      <c r="N8" s="313" t="s">
        <v>102</v>
      </c>
      <c r="O8" s="314" t="s">
        <v>102</v>
      </c>
      <c r="P8" s="315" t="s">
        <v>102</v>
      </c>
      <c r="Q8" s="316" t="s">
        <v>102</v>
      </c>
      <c r="R8" s="313" t="s">
        <v>102</v>
      </c>
      <c r="S8" s="314">
        <f t="shared" ref="S8:S49" si="16">SUM(M8,O8,Q8)</f>
        <v>0</v>
      </c>
      <c r="T8" s="317" t="s">
        <v>102</v>
      </c>
    </row>
    <row r="9" spans="1:20" s="15" customFormat="1" ht="21.95" customHeight="1">
      <c r="A9" s="496" t="s">
        <v>35</v>
      </c>
      <c r="B9" s="797">
        <f>SUM(B10:B11)</f>
        <v>1486</v>
      </c>
      <c r="C9" s="798">
        <f>SUM(C10:C11)</f>
        <v>290</v>
      </c>
      <c r="D9" s="799">
        <f>SUM(D10:D11)</f>
        <v>281</v>
      </c>
      <c r="E9" s="800">
        <f t="shared" ref="E9:S9" si="17">SUM(E10:E11)</f>
        <v>120</v>
      </c>
      <c r="F9" s="801">
        <f>E9/K9*100</f>
        <v>47.058823529411761</v>
      </c>
      <c r="G9" s="802">
        <f t="shared" si="17"/>
        <v>105</v>
      </c>
      <c r="H9" s="803">
        <f>G9/K9*100</f>
        <v>41.17647058823529</v>
      </c>
      <c r="I9" s="800">
        <f t="shared" si="17"/>
        <v>30</v>
      </c>
      <c r="J9" s="804">
        <f t="shared" ref="J9:J12" si="18">I9/K9*100</f>
        <v>11.76470588235294</v>
      </c>
      <c r="K9" s="805">
        <f>SUM(K10:K11)</f>
        <v>255</v>
      </c>
      <c r="L9" s="801">
        <f>+K9/D9*100</f>
        <v>90.747330960854086</v>
      </c>
      <c r="M9" s="806">
        <f t="shared" si="17"/>
        <v>10</v>
      </c>
      <c r="N9" s="801">
        <f>M9/E9*100</f>
        <v>8.3333333333333321</v>
      </c>
      <c r="O9" s="805">
        <f t="shared" si="17"/>
        <v>15</v>
      </c>
      <c r="P9" s="804">
        <f t="shared" ref="P9:P11" si="19">O9/G9*100</f>
        <v>14.285714285714285</v>
      </c>
      <c r="Q9" s="807">
        <v>0</v>
      </c>
      <c r="R9" s="329">
        <v>0</v>
      </c>
      <c r="S9" s="805">
        <f t="shared" si="17"/>
        <v>25</v>
      </c>
      <c r="T9" s="808">
        <f t="shared" ref="T9:T16" si="20">S9/K9*100</f>
        <v>9.8039215686274517</v>
      </c>
    </row>
    <row r="10" spans="1:20" ht="21.95" customHeight="1">
      <c r="A10" s="809" t="s">
        <v>103</v>
      </c>
      <c r="B10" s="446">
        <f>429+61+16+2+3+130</f>
        <v>641</v>
      </c>
      <c r="C10" s="447">
        <v>200</v>
      </c>
      <c r="D10" s="655">
        <f>92+16+2+79</f>
        <v>189</v>
      </c>
      <c r="E10" s="242">
        <v>77</v>
      </c>
      <c r="F10" s="249">
        <f>E10/K10*100</f>
        <v>45.029239766081872</v>
      </c>
      <c r="G10" s="810">
        <v>76</v>
      </c>
      <c r="H10" s="790">
        <f t="shared" ref="H10:H17" si="21">G10/K10*100</f>
        <v>44.444444444444443</v>
      </c>
      <c r="I10" s="242">
        <v>18</v>
      </c>
      <c r="J10" s="251">
        <f t="shared" si="18"/>
        <v>10.526315789473683</v>
      </c>
      <c r="K10" s="250">
        <f t="shared" ref="K10:K11" si="22">SUM(I10,E10,G10)</f>
        <v>171</v>
      </c>
      <c r="L10" s="249">
        <f t="shared" ref="L10:L50" si="23">+K10/D10*100</f>
        <v>90.476190476190482</v>
      </c>
      <c r="M10" s="240">
        <v>7</v>
      </c>
      <c r="N10" s="249">
        <f t="shared" ref="N10:N16" si="24">M10/E10*100</f>
        <v>9.0909090909090917</v>
      </c>
      <c r="O10" s="250">
        <v>13</v>
      </c>
      <c r="P10" s="251">
        <f t="shared" si="19"/>
        <v>17.105263157894736</v>
      </c>
      <c r="Q10" s="242">
        <v>0</v>
      </c>
      <c r="R10" s="249">
        <v>0</v>
      </c>
      <c r="S10" s="250">
        <f t="shared" si="16"/>
        <v>20</v>
      </c>
      <c r="T10" s="252">
        <f t="shared" si="20"/>
        <v>11.695906432748536</v>
      </c>
    </row>
    <row r="11" spans="1:20" ht="21.95" customHeight="1" thickBot="1">
      <c r="A11" s="559" t="s">
        <v>37</v>
      </c>
      <c r="B11" s="560">
        <f>708+79+1+7+3+2+45</f>
        <v>845</v>
      </c>
      <c r="C11" s="561">
        <v>90</v>
      </c>
      <c r="D11" s="697">
        <f>51+7+3+2+29</f>
        <v>92</v>
      </c>
      <c r="E11" s="255">
        <v>43</v>
      </c>
      <c r="F11" s="262">
        <f>E11/K11*100</f>
        <v>51.19047619047619</v>
      </c>
      <c r="G11" s="811">
        <v>29</v>
      </c>
      <c r="H11" s="812">
        <f t="shared" si="21"/>
        <v>34.523809523809526</v>
      </c>
      <c r="I11" s="255">
        <v>12</v>
      </c>
      <c r="J11" s="264">
        <f t="shared" si="18"/>
        <v>14.285714285714285</v>
      </c>
      <c r="K11" s="263">
        <f t="shared" si="22"/>
        <v>84</v>
      </c>
      <c r="L11" s="262">
        <f t="shared" si="23"/>
        <v>91.304347826086953</v>
      </c>
      <c r="M11" s="253">
        <v>3</v>
      </c>
      <c r="N11" s="289">
        <f t="shared" si="24"/>
        <v>6.9767441860465116</v>
      </c>
      <c r="O11" s="263">
        <v>2</v>
      </c>
      <c r="P11" s="264">
        <f t="shared" si="19"/>
        <v>6.8965517241379306</v>
      </c>
      <c r="Q11" s="314">
        <v>0</v>
      </c>
      <c r="R11" s="313">
        <v>0</v>
      </c>
      <c r="S11" s="263">
        <f t="shared" si="16"/>
        <v>5</v>
      </c>
      <c r="T11" s="265">
        <f t="shared" si="20"/>
        <v>5.9523809523809517</v>
      </c>
    </row>
    <row r="12" spans="1:20" ht="21.95" customHeight="1">
      <c r="A12" s="496" t="s">
        <v>38</v>
      </c>
      <c r="B12" s="497">
        <f>SUM(B13:B16)</f>
        <v>952</v>
      </c>
      <c r="C12" s="498">
        <f>SUM(C13:C16)</f>
        <v>270</v>
      </c>
      <c r="D12" s="499">
        <f>SUM(D13:D16)</f>
        <v>366</v>
      </c>
      <c r="E12" s="267">
        <f>SUM(E13:E16)</f>
        <v>119</v>
      </c>
      <c r="F12" s="333">
        <f>E12/K12*100</f>
        <v>35.843373493975903</v>
      </c>
      <c r="G12" s="708">
        <f>SUM(G13:G16)</f>
        <v>113</v>
      </c>
      <c r="H12" s="709">
        <f>G12/K12*100</f>
        <v>34.036144578313255</v>
      </c>
      <c r="I12" s="269">
        <f>SUM(I13:I16)</f>
        <v>100</v>
      </c>
      <c r="J12" s="334">
        <f t="shared" si="18"/>
        <v>30.120481927710845</v>
      </c>
      <c r="K12" s="273">
        <f>SUM(I12,E12,G12)</f>
        <v>332</v>
      </c>
      <c r="L12" s="333">
        <f t="shared" si="23"/>
        <v>90.710382513661202</v>
      </c>
      <c r="M12" s="267">
        <f>SUM(M13:M16)</f>
        <v>9</v>
      </c>
      <c r="N12" s="333">
        <f t="shared" si="24"/>
        <v>7.5630252100840334</v>
      </c>
      <c r="O12" s="273">
        <f>SUM(O13:O16)</f>
        <v>24</v>
      </c>
      <c r="P12" s="334">
        <f>O12/G12*100</f>
        <v>21.238938053097346</v>
      </c>
      <c r="Q12" s="269">
        <f>SUM(Q13:Q16)</f>
        <v>11</v>
      </c>
      <c r="R12" s="333">
        <f t="shared" ref="R12:R30" si="25">Q12/I12*100</f>
        <v>11</v>
      </c>
      <c r="S12" s="273">
        <f t="shared" si="16"/>
        <v>44</v>
      </c>
      <c r="T12" s="337">
        <f t="shared" si="20"/>
        <v>13.253012048192772</v>
      </c>
    </row>
    <row r="13" spans="1:20" ht="21.95" customHeight="1">
      <c r="A13" s="813" t="s">
        <v>104</v>
      </c>
      <c r="B13" s="446">
        <f>601+28</f>
        <v>629</v>
      </c>
      <c r="C13" s="447"/>
      <c r="D13" s="655"/>
      <c r="E13" s="814">
        <v>0</v>
      </c>
      <c r="F13" s="815"/>
      <c r="G13" s="810"/>
      <c r="H13" s="816"/>
      <c r="I13" s="242"/>
      <c r="J13" s="251"/>
      <c r="K13" s="250"/>
      <c r="L13" s="249"/>
      <c r="M13" s="240"/>
      <c r="N13" s="249"/>
      <c r="O13" s="250"/>
      <c r="P13" s="251"/>
      <c r="Q13" s="242"/>
      <c r="R13" s="249"/>
      <c r="S13" s="250"/>
      <c r="T13" s="252"/>
    </row>
    <row r="14" spans="1:20" ht="21.95" customHeight="1">
      <c r="A14" s="572" t="s">
        <v>105</v>
      </c>
      <c r="B14" s="573">
        <v>102</v>
      </c>
      <c r="C14" s="574">
        <v>90</v>
      </c>
      <c r="D14" s="716">
        <v>130</v>
      </c>
      <c r="E14" s="189">
        <v>52</v>
      </c>
      <c r="F14" s="194">
        <f t="shared" ref="F14:F16" si="26">E14/K14*100</f>
        <v>44.827586206896555</v>
      </c>
      <c r="G14" s="817">
        <v>30</v>
      </c>
      <c r="H14" s="756">
        <f t="shared" si="21"/>
        <v>25.862068965517242</v>
      </c>
      <c r="I14" s="189">
        <v>34</v>
      </c>
      <c r="J14" s="279">
        <f t="shared" ref="J14:J29" si="27">I14/K14*100</f>
        <v>29.310344827586203</v>
      </c>
      <c r="K14" s="196">
        <v>116</v>
      </c>
      <c r="L14" s="194">
        <f t="shared" si="23"/>
        <v>89.230769230769241</v>
      </c>
      <c r="M14" s="187">
        <v>3</v>
      </c>
      <c r="N14" s="194">
        <f t="shared" si="24"/>
        <v>5.7692307692307692</v>
      </c>
      <c r="O14" s="196">
        <v>5</v>
      </c>
      <c r="P14" s="326">
        <f>O14/G14*100</f>
        <v>16.666666666666664</v>
      </c>
      <c r="Q14" s="189">
        <v>5</v>
      </c>
      <c r="R14" s="300">
        <f t="shared" si="25"/>
        <v>14.705882352941178</v>
      </c>
      <c r="S14" s="196">
        <v>13</v>
      </c>
      <c r="T14" s="197">
        <f t="shared" si="20"/>
        <v>11.206896551724139</v>
      </c>
    </row>
    <row r="15" spans="1:20" ht="21.95" customHeight="1">
      <c r="A15" s="572" t="s">
        <v>106</v>
      </c>
      <c r="B15" s="573">
        <v>95</v>
      </c>
      <c r="C15" s="574">
        <v>90</v>
      </c>
      <c r="D15" s="716">
        <v>115</v>
      </c>
      <c r="E15" s="189">
        <v>41</v>
      </c>
      <c r="F15" s="194">
        <f t="shared" si="26"/>
        <v>38.31775700934579</v>
      </c>
      <c r="G15" s="817">
        <v>39</v>
      </c>
      <c r="H15" s="756">
        <f t="shared" si="21"/>
        <v>36.44859813084112</v>
      </c>
      <c r="I15" s="189">
        <v>27</v>
      </c>
      <c r="J15" s="279">
        <f t="shared" si="27"/>
        <v>25.233644859813083</v>
      </c>
      <c r="K15" s="196">
        <v>107</v>
      </c>
      <c r="L15" s="194">
        <f t="shared" si="23"/>
        <v>93.043478260869563</v>
      </c>
      <c r="M15" s="187">
        <v>4</v>
      </c>
      <c r="N15" s="194">
        <f t="shared" si="24"/>
        <v>9.7560975609756095</v>
      </c>
      <c r="O15" s="196">
        <v>4</v>
      </c>
      <c r="P15" s="326">
        <f>O15/G15*100</f>
        <v>10.256410256410255</v>
      </c>
      <c r="Q15" s="189">
        <v>1</v>
      </c>
      <c r="R15" s="300">
        <f t="shared" si="25"/>
        <v>3.7037037037037033</v>
      </c>
      <c r="S15" s="196">
        <v>9</v>
      </c>
      <c r="T15" s="197">
        <f t="shared" si="20"/>
        <v>8.4112149532710276</v>
      </c>
    </row>
    <row r="16" spans="1:20" ht="21.95" customHeight="1" thickBot="1">
      <c r="A16" s="338" t="s">
        <v>107</v>
      </c>
      <c r="B16" s="502">
        <v>126</v>
      </c>
      <c r="C16" s="503">
        <v>90</v>
      </c>
      <c r="D16" s="720">
        <v>121</v>
      </c>
      <c r="E16" s="282">
        <v>26</v>
      </c>
      <c r="F16" s="289">
        <f t="shared" si="26"/>
        <v>23.853211009174313</v>
      </c>
      <c r="G16" s="818">
        <v>44</v>
      </c>
      <c r="H16" s="756">
        <f t="shared" si="21"/>
        <v>40.366972477064223</v>
      </c>
      <c r="I16" s="282">
        <v>39</v>
      </c>
      <c r="J16" s="291">
        <f t="shared" si="27"/>
        <v>35.779816513761467</v>
      </c>
      <c r="K16" s="290">
        <v>109</v>
      </c>
      <c r="L16" s="289">
        <f t="shared" si="23"/>
        <v>90.082644628099175</v>
      </c>
      <c r="M16" s="280">
        <v>2</v>
      </c>
      <c r="N16" s="289">
        <f t="shared" si="24"/>
        <v>7.6923076923076925</v>
      </c>
      <c r="O16" s="290">
        <v>15</v>
      </c>
      <c r="P16" s="326">
        <f>O16/G16*100</f>
        <v>34.090909090909086</v>
      </c>
      <c r="Q16" s="282">
        <v>5</v>
      </c>
      <c r="R16" s="329">
        <f t="shared" si="25"/>
        <v>12.820512820512819</v>
      </c>
      <c r="S16" s="290">
        <v>22</v>
      </c>
      <c r="T16" s="292">
        <f t="shared" si="20"/>
        <v>20.183486238532112</v>
      </c>
    </row>
    <row r="17" spans="1:20" s="15" customFormat="1" ht="21.95" customHeight="1">
      <c r="A17" s="496" t="s">
        <v>42</v>
      </c>
      <c r="B17" s="497">
        <f>+B18</f>
        <v>5360</v>
      </c>
      <c r="C17" s="498">
        <f t="shared" ref="C17:D17" si="28">+C18</f>
        <v>1560</v>
      </c>
      <c r="D17" s="819">
        <f t="shared" si="28"/>
        <v>1929</v>
      </c>
      <c r="E17" s="269">
        <f>SUM(E18:E41)</f>
        <v>825</v>
      </c>
      <c r="F17" s="333">
        <f>E17/K17*100</f>
        <v>47.250859106529205</v>
      </c>
      <c r="G17" s="820">
        <f>SUM(G18:G41)</f>
        <v>568</v>
      </c>
      <c r="H17" s="709">
        <f t="shared" si="21"/>
        <v>32.531500572737684</v>
      </c>
      <c r="I17" s="269">
        <f>SUM(I18:I41)</f>
        <v>353</v>
      </c>
      <c r="J17" s="334">
        <f t="shared" si="27"/>
        <v>20.217640320733103</v>
      </c>
      <c r="K17" s="273">
        <f t="shared" ref="K17:K41" si="29">SUM(I17,E17,G17)</f>
        <v>1746</v>
      </c>
      <c r="L17" s="333">
        <f t="shared" si="23"/>
        <v>90.513219284603423</v>
      </c>
      <c r="M17" s="267">
        <f>SUM(M18:M41)</f>
        <v>37</v>
      </c>
      <c r="N17" s="333">
        <f>M17/E17*100</f>
        <v>4.4848484848484844</v>
      </c>
      <c r="O17" s="273">
        <f>SUM(O18:O41)</f>
        <v>89</v>
      </c>
      <c r="P17" s="334">
        <f>O17/G17*100</f>
        <v>15.669014084507044</v>
      </c>
      <c r="Q17" s="269">
        <f>SUM(Q18:Q41)</f>
        <v>73</v>
      </c>
      <c r="R17" s="333">
        <f t="shared" si="25"/>
        <v>20.679886685552407</v>
      </c>
      <c r="S17" s="273">
        <f>SUM(M17,O17,Q17)</f>
        <v>199</v>
      </c>
      <c r="T17" s="337">
        <f>S17/K17*100</f>
        <v>11.397479954180985</v>
      </c>
    </row>
    <row r="18" spans="1:20" ht="21.95" customHeight="1">
      <c r="A18" s="595" t="s">
        <v>108</v>
      </c>
      <c r="B18" s="589">
        <f>3784+280+4+150+1+34+213+43+57+794</f>
        <v>5360</v>
      </c>
      <c r="C18" s="590">
        <v>1560</v>
      </c>
      <c r="D18" s="591">
        <f>936+3+65+1+34+196+41+55+598</f>
        <v>1929</v>
      </c>
      <c r="E18" s="807">
        <v>619</v>
      </c>
      <c r="F18" s="329">
        <f>E18/K18*100</f>
        <v>46.228528752800599</v>
      </c>
      <c r="G18" s="821">
        <v>526</v>
      </c>
      <c r="H18" s="822">
        <f>G18/K18*100</f>
        <v>39.283047050037339</v>
      </c>
      <c r="I18" s="807">
        <v>194</v>
      </c>
      <c r="J18" s="823">
        <f t="shared" si="27"/>
        <v>14.488424197162061</v>
      </c>
      <c r="K18" s="824">
        <f t="shared" si="29"/>
        <v>1339</v>
      </c>
      <c r="L18" s="329">
        <f t="shared" si="23"/>
        <v>69.414204250907204</v>
      </c>
      <c r="M18" s="825">
        <v>36</v>
      </c>
      <c r="N18" s="332">
        <f>M18/E18*100</f>
        <v>5.8158319870759287</v>
      </c>
      <c r="O18" s="824">
        <v>89</v>
      </c>
      <c r="P18" s="823">
        <f>O18/G18*100</f>
        <v>16.920152091254753</v>
      </c>
      <c r="Q18" s="807">
        <v>33</v>
      </c>
      <c r="R18" s="329">
        <f t="shared" si="25"/>
        <v>17.010309278350515</v>
      </c>
      <c r="S18" s="824">
        <f t="shared" si="16"/>
        <v>158</v>
      </c>
      <c r="T18" s="449">
        <f t="shared" ref="T18" si="30">S18/K18*100</f>
        <v>11.799850634802091</v>
      </c>
    </row>
    <row r="19" spans="1:20" ht="21.95" customHeight="1">
      <c r="A19" s="585" t="s">
        <v>44</v>
      </c>
      <c r="B19" s="589"/>
      <c r="C19" s="590"/>
      <c r="D19" s="591"/>
      <c r="E19" s="189">
        <v>11</v>
      </c>
      <c r="F19" s="194">
        <f>E19/K19*100</f>
        <v>42.307692307692307</v>
      </c>
      <c r="G19" s="817"/>
      <c r="H19" s="826"/>
      <c r="I19" s="189">
        <v>15</v>
      </c>
      <c r="J19" s="279">
        <f t="shared" si="27"/>
        <v>57.692307692307686</v>
      </c>
      <c r="K19" s="196">
        <f t="shared" si="29"/>
        <v>26</v>
      </c>
      <c r="L19" s="194">
        <v>0</v>
      </c>
      <c r="M19" s="187">
        <v>0</v>
      </c>
      <c r="N19" s="194">
        <f>M19/E19*100</f>
        <v>0</v>
      </c>
      <c r="O19" s="196">
        <v>0</v>
      </c>
      <c r="P19" s="279">
        <v>0</v>
      </c>
      <c r="Q19" s="189">
        <v>1</v>
      </c>
      <c r="R19" s="194">
        <f t="shared" si="25"/>
        <v>6.666666666666667</v>
      </c>
      <c r="S19" s="196">
        <f t="shared" si="16"/>
        <v>1</v>
      </c>
      <c r="T19" s="197">
        <f>S19/K19*100</f>
        <v>3.8461538461538463</v>
      </c>
    </row>
    <row r="20" spans="1:20" ht="21.95" customHeight="1">
      <c r="A20" s="585" t="s">
        <v>45</v>
      </c>
      <c r="B20" s="589"/>
      <c r="C20" s="590"/>
      <c r="D20" s="591"/>
      <c r="E20" s="189">
        <v>9</v>
      </c>
      <c r="F20" s="194">
        <f t="shared" ref="F20:F38" si="31">E20/K20*100</f>
        <v>50</v>
      </c>
      <c r="G20" s="817"/>
      <c r="H20" s="826"/>
      <c r="I20" s="189">
        <v>9</v>
      </c>
      <c r="J20" s="279">
        <f t="shared" si="27"/>
        <v>50</v>
      </c>
      <c r="K20" s="196">
        <f t="shared" si="29"/>
        <v>18</v>
      </c>
      <c r="L20" s="194">
        <v>0</v>
      </c>
      <c r="M20" s="187">
        <v>0</v>
      </c>
      <c r="N20" s="194">
        <v>0</v>
      </c>
      <c r="O20" s="196">
        <v>0</v>
      </c>
      <c r="P20" s="279">
        <v>0</v>
      </c>
      <c r="Q20" s="189">
        <v>0</v>
      </c>
      <c r="R20" s="194">
        <f t="shared" si="25"/>
        <v>0</v>
      </c>
      <c r="S20" s="196">
        <f t="shared" si="16"/>
        <v>0</v>
      </c>
      <c r="T20" s="197">
        <v>0</v>
      </c>
    </row>
    <row r="21" spans="1:20" ht="21.95" customHeight="1">
      <c r="A21" s="585" t="s">
        <v>109</v>
      </c>
      <c r="B21" s="589"/>
      <c r="C21" s="590"/>
      <c r="D21" s="591"/>
      <c r="E21" s="189">
        <v>6</v>
      </c>
      <c r="F21" s="194">
        <f t="shared" si="31"/>
        <v>75</v>
      </c>
      <c r="G21" s="817"/>
      <c r="H21" s="826"/>
      <c r="I21" s="189">
        <v>2</v>
      </c>
      <c r="J21" s="279">
        <f t="shared" si="27"/>
        <v>25</v>
      </c>
      <c r="K21" s="196">
        <f t="shared" si="29"/>
        <v>8</v>
      </c>
      <c r="L21" s="194">
        <v>0</v>
      </c>
      <c r="M21" s="187">
        <v>0</v>
      </c>
      <c r="N21" s="194">
        <v>0</v>
      </c>
      <c r="O21" s="196">
        <v>0</v>
      </c>
      <c r="P21" s="279">
        <v>0</v>
      </c>
      <c r="Q21" s="189">
        <v>0</v>
      </c>
      <c r="R21" s="194">
        <f t="shared" si="25"/>
        <v>0</v>
      </c>
      <c r="S21" s="196">
        <f t="shared" si="16"/>
        <v>0</v>
      </c>
      <c r="T21" s="197">
        <v>0</v>
      </c>
    </row>
    <row r="22" spans="1:20" ht="21.95" customHeight="1">
      <c r="A22" s="585" t="s">
        <v>110</v>
      </c>
      <c r="B22" s="589"/>
      <c r="C22" s="590"/>
      <c r="D22" s="591"/>
      <c r="E22" s="189">
        <v>0</v>
      </c>
      <c r="F22" s="194">
        <f t="shared" si="31"/>
        <v>0</v>
      </c>
      <c r="G22" s="817"/>
      <c r="H22" s="826"/>
      <c r="I22" s="189">
        <v>1</v>
      </c>
      <c r="J22" s="279">
        <f t="shared" si="27"/>
        <v>100</v>
      </c>
      <c r="K22" s="196">
        <f t="shared" si="29"/>
        <v>1</v>
      </c>
      <c r="L22" s="194">
        <v>0</v>
      </c>
      <c r="M22" s="187">
        <v>0</v>
      </c>
      <c r="N22" s="194">
        <v>0</v>
      </c>
      <c r="O22" s="196">
        <v>0</v>
      </c>
      <c r="P22" s="279">
        <v>0</v>
      </c>
      <c r="Q22" s="189">
        <v>0</v>
      </c>
      <c r="R22" s="194">
        <f t="shared" si="25"/>
        <v>0</v>
      </c>
      <c r="S22" s="196">
        <f t="shared" si="16"/>
        <v>0</v>
      </c>
      <c r="T22" s="197">
        <v>0</v>
      </c>
    </row>
    <row r="23" spans="1:20" ht="21.95" customHeight="1">
      <c r="A23" s="585" t="s">
        <v>47</v>
      </c>
      <c r="B23" s="589"/>
      <c r="C23" s="590"/>
      <c r="D23" s="591"/>
      <c r="E23" s="189">
        <v>10</v>
      </c>
      <c r="F23" s="194">
        <f t="shared" si="31"/>
        <v>100</v>
      </c>
      <c r="G23" s="817"/>
      <c r="H23" s="826"/>
      <c r="I23" s="189">
        <v>0</v>
      </c>
      <c r="J23" s="279">
        <f t="shared" si="27"/>
        <v>0</v>
      </c>
      <c r="K23" s="196">
        <f t="shared" si="29"/>
        <v>10</v>
      </c>
      <c r="L23" s="194">
        <v>0</v>
      </c>
      <c r="M23" s="187">
        <v>0</v>
      </c>
      <c r="N23" s="194">
        <v>0</v>
      </c>
      <c r="O23" s="196">
        <v>0</v>
      </c>
      <c r="P23" s="279">
        <v>0</v>
      </c>
      <c r="Q23" s="189">
        <v>0</v>
      </c>
      <c r="R23" s="194"/>
      <c r="S23" s="196">
        <f t="shared" si="16"/>
        <v>0</v>
      </c>
      <c r="T23" s="197">
        <v>0</v>
      </c>
    </row>
    <row r="24" spans="1:20" ht="21.95" customHeight="1">
      <c r="A24" s="585" t="s">
        <v>48</v>
      </c>
      <c r="B24" s="589"/>
      <c r="C24" s="590"/>
      <c r="D24" s="591"/>
      <c r="E24" s="189">
        <v>5</v>
      </c>
      <c r="F24" s="194">
        <f t="shared" si="31"/>
        <v>62.5</v>
      </c>
      <c r="G24" s="817"/>
      <c r="H24" s="826"/>
      <c r="I24" s="189">
        <v>3</v>
      </c>
      <c r="J24" s="279">
        <f t="shared" si="27"/>
        <v>37.5</v>
      </c>
      <c r="K24" s="196">
        <f t="shared" si="29"/>
        <v>8</v>
      </c>
      <c r="L24" s="194">
        <v>0</v>
      </c>
      <c r="M24" s="187">
        <v>0</v>
      </c>
      <c r="N24" s="194">
        <v>0</v>
      </c>
      <c r="O24" s="196">
        <v>0</v>
      </c>
      <c r="P24" s="279">
        <v>0</v>
      </c>
      <c r="Q24" s="189">
        <v>0</v>
      </c>
      <c r="R24" s="194">
        <f t="shared" si="25"/>
        <v>0</v>
      </c>
      <c r="S24" s="196">
        <f t="shared" si="16"/>
        <v>0</v>
      </c>
      <c r="T24" s="197">
        <v>0</v>
      </c>
    </row>
    <row r="25" spans="1:20" ht="21.95" customHeight="1">
      <c r="A25" s="585" t="s">
        <v>49</v>
      </c>
      <c r="B25" s="589"/>
      <c r="C25" s="590"/>
      <c r="D25" s="591"/>
      <c r="E25" s="189">
        <v>12</v>
      </c>
      <c r="F25" s="194">
        <f>E25/K25*100</f>
        <v>80</v>
      </c>
      <c r="G25" s="817"/>
      <c r="H25" s="826"/>
      <c r="I25" s="189">
        <v>3</v>
      </c>
      <c r="J25" s="279">
        <f t="shared" si="27"/>
        <v>20</v>
      </c>
      <c r="K25" s="196">
        <f t="shared" si="29"/>
        <v>15</v>
      </c>
      <c r="L25" s="194">
        <v>0</v>
      </c>
      <c r="M25" s="187">
        <v>0</v>
      </c>
      <c r="N25" s="194">
        <v>0</v>
      </c>
      <c r="O25" s="196">
        <v>0</v>
      </c>
      <c r="P25" s="279">
        <v>0</v>
      </c>
      <c r="Q25" s="189">
        <v>1</v>
      </c>
      <c r="R25" s="194">
        <f t="shared" si="25"/>
        <v>33.333333333333329</v>
      </c>
      <c r="S25" s="196">
        <f t="shared" si="16"/>
        <v>1</v>
      </c>
      <c r="T25" s="197">
        <f>S25/K25*100</f>
        <v>6.666666666666667</v>
      </c>
    </row>
    <row r="26" spans="1:20" ht="21.95" customHeight="1">
      <c r="A26" s="585" t="s">
        <v>50</v>
      </c>
      <c r="B26" s="589"/>
      <c r="C26" s="590"/>
      <c r="D26" s="591"/>
      <c r="E26" s="189">
        <v>6</v>
      </c>
      <c r="F26" s="194">
        <f t="shared" si="31"/>
        <v>37.5</v>
      </c>
      <c r="G26" s="817"/>
      <c r="H26" s="826"/>
      <c r="I26" s="189">
        <v>10</v>
      </c>
      <c r="J26" s="279">
        <f t="shared" si="27"/>
        <v>62.5</v>
      </c>
      <c r="K26" s="196">
        <f t="shared" si="29"/>
        <v>16</v>
      </c>
      <c r="L26" s="194">
        <v>0</v>
      </c>
      <c r="M26" s="187">
        <v>0</v>
      </c>
      <c r="N26" s="194">
        <v>0</v>
      </c>
      <c r="O26" s="196">
        <v>0</v>
      </c>
      <c r="P26" s="279">
        <v>0</v>
      </c>
      <c r="Q26" s="189">
        <v>0</v>
      </c>
      <c r="R26" s="194">
        <f t="shared" si="25"/>
        <v>0</v>
      </c>
      <c r="S26" s="196">
        <f t="shared" si="16"/>
        <v>0</v>
      </c>
      <c r="T26" s="197">
        <v>0</v>
      </c>
    </row>
    <row r="27" spans="1:20" ht="21.95" customHeight="1">
      <c r="A27" s="593" t="s">
        <v>51</v>
      </c>
      <c r="B27" s="589"/>
      <c r="C27" s="590"/>
      <c r="D27" s="591"/>
      <c r="E27" s="255">
        <v>10</v>
      </c>
      <c r="F27" s="262">
        <f t="shared" si="31"/>
        <v>66.666666666666657</v>
      </c>
      <c r="G27" s="811"/>
      <c r="H27" s="827"/>
      <c r="I27" s="255">
        <v>5</v>
      </c>
      <c r="J27" s="264">
        <f t="shared" si="27"/>
        <v>33.333333333333329</v>
      </c>
      <c r="K27" s="263">
        <f t="shared" si="29"/>
        <v>15</v>
      </c>
      <c r="L27" s="262">
        <v>0</v>
      </c>
      <c r="M27" s="253">
        <v>0</v>
      </c>
      <c r="N27" s="262">
        <v>0</v>
      </c>
      <c r="O27" s="263">
        <v>0</v>
      </c>
      <c r="P27" s="264">
        <v>0</v>
      </c>
      <c r="Q27" s="255">
        <v>0</v>
      </c>
      <c r="R27" s="262">
        <f t="shared" si="25"/>
        <v>0</v>
      </c>
      <c r="S27" s="263">
        <f t="shared" si="16"/>
        <v>0</v>
      </c>
      <c r="T27" s="265">
        <v>0</v>
      </c>
    </row>
    <row r="28" spans="1:20" ht="21.95" customHeight="1" thickBot="1">
      <c r="A28" s="828" t="s">
        <v>52</v>
      </c>
      <c r="B28" s="485"/>
      <c r="C28" s="486"/>
      <c r="D28" s="487"/>
      <c r="E28" s="316">
        <v>7</v>
      </c>
      <c r="F28" s="313">
        <f t="shared" si="31"/>
        <v>50</v>
      </c>
      <c r="G28" s="795">
        <v>0</v>
      </c>
      <c r="H28" s="796">
        <v>0</v>
      </c>
      <c r="I28" s="316">
        <v>7</v>
      </c>
      <c r="J28" s="315">
        <f t="shared" si="27"/>
        <v>50</v>
      </c>
      <c r="K28" s="314">
        <f t="shared" si="29"/>
        <v>14</v>
      </c>
      <c r="L28" s="313">
        <v>0</v>
      </c>
      <c r="M28" s="312">
        <v>0</v>
      </c>
      <c r="N28" s="313">
        <v>0</v>
      </c>
      <c r="O28" s="314">
        <v>0</v>
      </c>
      <c r="P28" s="315">
        <v>0</v>
      </c>
      <c r="Q28" s="316">
        <v>0</v>
      </c>
      <c r="R28" s="313">
        <f t="shared" si="25"/>
        <v>0</v>
      </c>
      <c r="S28" s="314">
        <f t="shared" si="16"/>
        <v>0</v>
      </c>
      <c r="T28" s="317">
        <v>0</v>
      </c>
    </row>
    <row r="29" spans="1:20" ht="21" customHeight="1">
      <c r="A29" s="595" t="s">
        <v>53</v>
      </c>
      <c r="B29" s="589"/>
      <c r="C29" s="590"/>
      <c r="D29" s="591"/>
      <c r="E29" s="327">
        <v>9</v>
      </c>
      <c r="F29" s="324">
        <f t="shared" si="31"/>
        <v>90</v>
      </c>
      <c r="G29" s="829">
        <v>0</v>
      </c>
      <c r="H29" s="830">
        <v>0</v>
      </c>
      <c r="I29" s="327">
        <v>1</v>
      </c>
      <c r="J29" s="326">
        <f t="shared" si="27"/>
        <v>10</v>
      </c>
      <c r="K29" s="325">
        <f t="shared" si="29"/>
        <v>10</v>
      </c>
      <c r="L29" s="324">
        <v>0</v>
      </c>
      <c r="M29" s="323">
        <v>0</v>
      </c>
      <c r="N29" s="324">
        <v>0</v>
      </c>
      <c r="O29" s="325">
        <v>0</v>
      </c>
      <c r="P29" s="326">
        <v>0</v>
      </c>
      <c r="Q29" s="327">
        <v>0</v>
      </c>
      <c r="R29" s="324">
        <f t="shared" si="25"/>
        <v>0</v>
      </c>
      <c r="S29" s="325">
        <f t="shared" si="16"/>
        <v>0</v>
      </c>
      <c r="T29" s="328">
        <v>0</v>
      </c>
    </row>
    <row r="30" spans="1:20" ht="21" customHeight="1">
      <c r="A30" s="585" t="s">
        <v>54</v>
      </c>
      <c r="B30" s="589"/>
      <c r="C30" s="590"/>
      <c r="D30" s="591"/>
      <c r="E30" s="189">
        <v>48</v>
      </c>
      <c r="F30" s="194">
        <f t="shared" si="31"/>
        <v>57.142857142857139</v>
      </c>
      <c r="G30" s="817">
        <v>25</v>
      </c>
      <c r="H30" s="812">
        <f>G30/K30*100</f>
        <v>29.761904761904763</v>
      </c>
      <c r="I30" s="189">
        <v>11</v>
      </c>
      <c r="J30" s="279">
        <f>I30/K30*100</f>
        <v>13.095238095238097</v>
      </c>
      <c r="K30" s="196">
        <f t="shared" si="29"/>
        <v>84</v>
      </c>
      <c r="L30" s="194">
        <v>0</v>
      </c>
      <c r="M30" s="187">
        <v>0</v>
      </c>
      <c r="N30" s="194">
        <v>0</v>
      </c>
      <c r="O30" s="196">
        <v>0</v>
      </c>
      <c r="P30" s="279">
        <v>0</v>
      </c>
      <c r="Q30" s="189">
        <v>0</v>
      </c>
      <c r="R30" s="194">
        <f t="shared" si="25"/>
        <v>0</v>
      </c>
      <c r="S30" s="196">
        <f t="shared" si="16"/>
        <v>0</v>
      </c>
      <c r="T30" s="197">
        <v>0</v>
      </c>
    </row>
    <row r="31" spans="1:20" ht="21" customHeight="1">
      <c r="A31" s="585" t="s">
        <v>55</v>
      </c>
      <c r="B31" s="589"/>
      <c r="C31" s="590"/>
      <c r="D31" s="591"/>
      <c r="E31" s="189">
        <v>8</v>
      </c>
      <c r="F31" s="194">
        <f t="shared" si="31"/>
        <v>100</v>
      </c>
      <c r="G31" s="817">
        <v>0</v>
      </c>
      <c r="H31" s="826">
        <v>0</v>
      </c>
      <c r="I31" s="189">
        <v>0</v>
      </c>
      <c r="J31" s="279">
        <f>I31/K31*100</f>
        <v>0</v>
      </c>
      <c r="K31" s="196">
        <f t="shared" si="29"/>
        <v>8</v>
      </c>
      <c r="L31" s="194">
        <v>0</v>
      </c>
      <c r="M31" s="187">
        <v>0</v>
      </c>
      <c r="N31" s="194">
        <v>0</v>
      </c>
      <c r="O31" s="196">
        <v>0</v>
      </c>
      <c r="P31" s="279">
        <v>0</v>
      </c>
      <c r="Q31" s="189">
        <v>0</v>
      </c>
      <c r="R31" s="194"/>
      <c r="S31" s="196">
        <f t="shared" si="16"/>
        <v>0</v>
      </c>
      <c r="T31" s="197">
        <v>0</v>
      </c>
    </row>
    <row r="32" spans="1:20" ht="21" customHeight="1">
      <c r="A32" s="585" t="s">
        <v>56</v>
      </c>
      <c r="B32" s="589"/>
      <c r="C32" s="590"/>
      <c r="D32" s="591"/>
      <c r="E32" s="189">
        <v>6</v>
      </c>
      <c r="F32" s="194">
        <f t="shared" si="31"/>
        <v>30</v>
      </c>
      <c r="G32" s="817">
        <v>0</v>
      </c>
      <c r="H32" s="826">
        <v>0</v>
      </c>
      <c r="I32" s="189">
        <v>14</v>
      </c>
      <c r="J32" s="279">
        <f>I32/K32*100</f>
        <v>70</v>
      </c>
      <c r="K32" s="196">
        <f t="shared" si="29"/>
        <v>20</v>
      </c>
      <c r="L32" s="194">
        <v>0</v>
      </c>
      <c r="M32" s="187">
        <v>0</v>
      </c>
      <c r="N32" s="194">
        <v>0</v>
      </c>
      <c r="O32" s="196">
        <v>0</v>
      </c>
      <c r="P32" s="279">
        <v>0</v>
      </c>
      <c r="Q32" s="189">
        <v>1</v>
      </c>
      <c r="R32" s="194">
        <f>Q32/I32*100</f>
        <v>7.1428571428571423</v>
      </c>
      <c r="S32" s="196">
        <f t="shared" si="16"/>
        <v>1</v>
      </c>
      <c r="T32" s="197">
        <f>S32/K32*100</f>
        <v>5</v>
      </c>
    </row>
    <row r="33" spans="1:20" ht="21" customHeight="1">
      <c r="A33" s="585" t="s">
        <v>57</v>
      </c>
      <c r="B33" s="589"/>
      <c r="C33" s="590"/>
      <c r="D33" s="591"/>
      <c r="E33" s="189">
        <v>8</v>
      </c>
      <c r="F33" s="194">
        <f t="shared" si="31"/>
        <v>100</v>
      </c>
      <c r="G33" s="817">
        <v>0</v>
      </c>
      <c r="H33" s="826">
        <v>0</v>
      </c>
      <c r="I33" s="189">
        <v>0</v>
      </c>
      <c r="J33" s="279">
        <f>I33/K33*100</f>
        <v>0</v>
      </c>
      <c r="K33" s="196">
        <f t="shared" si="29"/>
        <v>8</v>
      </c>
      <c r="L33" s="194">
        <v>0</v>
      </c>
      <c r="M33" s="187">
        <v>0</v>
      </c>
      <c r="N33" s="194">
        <v>0</v>
      </c>
      <c r="O33" s="196">
        <v>0</v>
      </c>
      <c r="P33" s="279">
        <v>0</v>
      </c>
      <c r="Q33" s="189">
        <v>0</v>
      </c>
      <c r="R33" s="194"/>
      <c r="S33" s="196">
        <f t="shared" si="16"/>
        <v>0</v>
      </c>
      <c r="T33" s="197">
        <v>0</v>
      </c>
    </row>
    <row r="34" spans="1:20" ht="21" customHeight="1">
      <c r="A34" s="585" t="s">
        <v>58</v>
      </c>
      <c r="B34" s="589"/>
      <c r="C34" s="590"/>
      <c r="D34" s="591"/>
      <c r="E34" s="189">
        <v>6</v>
      </c>
      <c r="F34" s="194">
        <f t="shared" si="31"/>
        <v>60</v>
      </c>
      <c r="G34" s="817">
        <v>0</v>
      </c>
      <c r="H34" s="826">
        <v>0</v>
      </c>
      <c r="I34" s="189">
        <v>4</v>
      </c>
      <c r="J34" s="279">
        <f t="shared" ref="J34:J36" si="32">I34/K34*100</f>
        <v>40</v>
      </c>
      <c r="K34" s="196">
        <f t="shared" si="29"/>
        <v>10</v>
      </c>
      <c r="L34" s="194">
        <v>0</v>
      </c>
      <c r="M34" s="187">
        <v>0</v>
      </c>
      <c r="N34" s="194">
        <v>0</v>
      </c>
      <c r="O34" s="196">
        <v>0</v>
      </c>
      <c r="P34" s="279">
        <v>0</v>
      </c>
      <c r="Q34" s="189">
        <v>0</v>
      </c>
      <c r="R34" s="194">
        <f>Q34/I34*100</f>
        <v>0</v>
      </c>
      <c r="S34" s="196">
        <f t="shared" si="16"/>
        <v>0</v>
      </c>
      <c r="T34" s="197">
        <v>0</v>
      </c>
    </row>
    <row r="35" spans="1:20" ht="21" customHeight="1">
      <c r="A35" s="585" t="s">
        <v>59</v>
      </c>
      <c r="B35" s="589"/>
      <c r="C35" s="590"/>
      <c r="D35" s="591"/>
      <c r="E35" s="189">
        <v>28</v>
      </c>
      <c r="F35" s="194">
        <f t="shared" si="31"/>
        <v>54.901960784313729</v>
      </c>
      <c r="G35" s="817">
        <v>17</v>
      </c>
      <c r="H35" s="812">
        <f>G35/K35*100</f>
        <v>33.333333333333329</v>
      </c>
      <c r="I35" s="189">
        <v>6</v>
      </c>
      <c r="J35" s="279">
        <f t="shared" si="32"/>
        <v>11.76470588235294</v>
      </c>
      <c r="K35" s="196">
        <f t="shared" si="29"/>
        <v>51</v>
      </c>
      <c r="L35" s="194">
        <v>0</v>
      </c>
      <c r="M35" s="187">
        <v>0</v>
      </c>
      <c r="N35" s="194">
        <v>0</v>
      </c>
      <c r="O35" s="196">
        <v>0</v>
      </c>
      <c r="P35" s="279">
        <v>0</v>
      </c>
      <c r="Q35" s="189">
        <v>0</v>
      </c>
      <c r="R35" s="194">
        <f>Q35/I35*100</f>
        <v>0</v>
      </c>
      <c r="S35" s="196">
        <f t="shared" si="16"/>
        <v>0</v>
      </c>
      <c r="T35" s="197">
        <v>0</v>
      </c>
    </row>
    <row r="36" spans="1:20" ht="21" customHeight="1">
      <c r="A36" s="585" t="s">
        <v>60</v>
      </c>
      <c r="B36" s="589"/>
      <c r="C36" s="590"/>
      <c r="D36" s="591"/>
      <c r="E36" s="189">
        <v>13</v>
      </c>
      <c r="F36" s="194">
        <f t="shared" si="31"/>
        <v>76.470588235294116</v>
      </c>
      <c r="G36" s="817">
        <v>0</v>
      </c>
      <c r="H36" s="826">
        <v>0</v>
      </c>
      <c r="I36" s="189">
        <v>4</v>
      </c>
      <c r="J36" s="279">
        <f t="shared" si="32"/>
        <v>23.52941176470588</v>
      </c>
      <c r="K36" s="196">
        <f t="shared" si="29"/>
        <v>17</v>
      </c>
      <c r="L36" s="194">
        <v>0</v>
      </c>
      <c r="M36" s="187">
        <v>1</v>
      </c>
      <c r="N36" s="289">
        <f>M36/E36*100</f>
        <v>7.6923076923076925</v>
      </c>
      <c r="O36" s="196">
        <v>0</v>
      </c>
      <c r="P36" s="279">
        <v>0</v>
      </c>
      <c r="Q36" s="189">
        <v>2</v>
      </c>
      <c r="R36" s="194">
        <f t="shared" ref="R36:R38" si="33">Q36/I36*100</f>
        <v>50</v>
      </c>
      <c r="S36" s="196">
        <f t="shared" si="16"/>
        <v>3</v>
      </c>
      <c r="T36" s="197">
        <f t="shared" ref="T36" si="34">S36/K36*100</f>
        <v>17.647058823529413</v>
      </c>
    </row>
    <row r="37" spans="1:20" ht="21" customHeight="1">
      <c r="A37" s="585" t="s">
        <v>111</v>
      </c>
      <c r="B37" s="589"/>
      <c r="C37" s="590"/>
      <c r="D37" s="591"/>
      <c r="E37" s="189">
        <v>0</v>
      </c>
      <c r="F37" s="194">
        <v>0</v>
      </c>
      <c r="G37" s="817">
        <v>0</v>
      </c>
      <c r="H37" s="826">
        <v>0</v>
      </c>
      <c r="I37" s="189">
        <v>0</v>
      </c>
      <c r="J37" s="279">
        <v>0</v>
      </c>
      <c r="K37" s="196">
        <f t="shared" si="29"/>
        <v>0</v>
      </c>
      <c r="L37" s="194">
        <v>0</v>
      </c>
      <c r="M37" s="187">
        <v>0</v>
      </c>
      <c r="N37" s="194">
        <v>0</v>
      </c>
      <c r="O37" s="196">
        <v>0</v>
      </c>
      <c r="P37" s="279">
        <v>0</v>
      </c>
      <c r="Q37" s="189">
        <v>3</v>
      </c>
      <c r="R37" s="194">
        <v>0</v>
      </c>
      <c r="S37" s="196">
        <f t="shared" si="16"/>
        <v>3</v>
      </c>
      <c r="T37" s="197">
        <v>0</v>
      </c>
    </row>
    <row r="38" spans="1:20" ht="21" customHeight="1">
      <c r="A38" s="585" t="s">
        <v>112</v>
      </c>
      <c r="B38" s="589"/>
      <c r="C38" s="590"/>
      <c r="D38" s="591"/>
      <c r="E38" s="189">
        <v>0</v>
      </c>
      <c r="F38" s="194">
        <f t="shared" si="31"/>
        <v>0</v>
      </c>
      <c r="G38" s="817">
        <v>0</v>
      </c>
      <c r="H38" s="826">
        <v>0</v>
      </c>
      <c r="I38" s="189">
        <v>60</v>
      </c>
      <c r="J38" s="279">
        <f>I38/K38*100</f>
        <v>100</v>
      </c>
      <c r="K38" s="196">
        <f t="shared" si="29"/>
        <v>60</v>
      </c>
      <c r="L38" s="194">
        <v>0</v>
      </c>
      <c r="M38" s="187">
        <v>0</v>
      </c>
      <c r="N38" s="194">
        <v>0</v>
      </c>
      <c r="O38" s="196">
        <v>0</v>
      </c>
      <c r="P38" s="279">
        <v>0</v>
      </c>
      <c r="Q38" s="189">
        <v>32</v>
      </c>
      <c r="R38" s="194">
        <f t="shared" si="33"/>
        <v>53.333333333333336</v>
      </c>
      <c r="S38" s="196">
        <f t="shared" si="16"/>
        <v>32</v>
      </c>
      <c r="T38" s="197">
        <v>0</v>
      </c>
    </row>
    <row r="39" spans="1:20" ht="21" customHeight="1">
      <c r="A39" s="585" t="s">
        <v>62</v>
      </c>
      <c r="B39" s="589"/>
      <c r="C39" s="590"/>
      <c r="D39" s="591"/>
      <c r="E39" s="189">
        <v>4</v>
      </c>
      <c r="F39" s="194">
        <f>E39/K39*100</f>
        <v>50</v>
      </c>
      <c r="G39" s="817">
        <v>0</v>
      </c>
      <c r="H39" s="826">
        <v>0</v>
      </c>
      <c r="I39" s="189">
        <v>4</v>
      </c>
      <c r="J39" s="279">
        <f>I39/K39*100</f>
        <v>50</v>
      </c>
      <c r="K39" s="196">
        <f t="shared" si="29"/>
        <v>8</v>
      </c>
      <c r="L39" s="194">
        <v>0</v>
      </c>
      <c r="M39" s="187">
        <v>0</v>
      </c>
      <c r="N39" s="194">
        <v>0</v>
      </c>
      <c r="O39" s="196">
        <v>0</v>
      </c>
      <c r="P39" s="279">
        <v>0</v>
      </c>
      <c r="Q39" s="189">
        <v>0</v>
      </c>
      <c r="R39" s="194">
        <v>0</v>
      </c>
      <c r="S39" s="196">
        <f t="shared" si="16"/>
        <v>0</v>
      </c>
      <c r="T39" s="197">
        <v>0</v>
      </c>
    </row>
    <row r="40" spans="1:20" ht="21" customHeight="1">
      <c r="A40" s="585" t="s">
        <v>63</v>
      </c>
      <c r="B40" s="589"/>
      <c r="C40" s="590"/>
      <c r="D40" s="591"/>
      <c r="E40" s="189">
        <v>0</v>
      </c>
      <c r="F40" s="194">
        <v>0</v>
      </c>
      <c r="G40" s="817">
        <v>0</v>
      </c>
      <c r="H40" s="826">
        <v>0</v>
      </c>
      <c r="I40" s="189">
        <v>0</v>
      </c>
      <c r="J40" s="279">
        <v>0</v>
      </c>
      <c r="K40" s="196">
        <f t="shared" si="29"/>
        <v>0</v>
      </c>
      <c r="L40" s="194">
        <v>0</v>
      </c>
      <c r="M40" s="187">
        <v>0</v>
      </c>
      <c r="N40" s="194">
        <v>0</v>
      </c>
      <c r="O40" s="196">
        <v>0</v>
      </c>
      <c r="P40" s="279">
        <v>0</v>
      </c>
      <c r="Q40" s="189">
        <v>0</v>
      </c>
      <c r="R40" s="194">
        <v>0</v>
      </c>
      <c r="S40" s="196">
        <f t="shared" si="16"/>
        <v>0</v>
      </c>
      <c r="T40" s="197">
        <v>0</v>
      </c>
    </row>
    <row r="41" spans="1:20" ht="21" customHeight="1" thickBot="1">
      <c r="A41" s="828" t="s">
        <v>64</v>
      </c>
      <c r="B41" s="485"/>
      <c r="C41" s="486"/>
      <c r="D41" s="487"/>
      <c r="E41" s="831">
        <v>0</v>
      </c>
      <c r="F41" s="313">
        <v>0</v>
      </c>
      <c r="G41" s="795">
        <v>0</v>
      </c>
      <c r="H41" s="796">
        <v>0</v>
      </c>
      <c r="I41" s="316">
        <v>0</v>
      </c>
      <c r="J41" s="315">
        <v>0</v>
      </c>
      <c r="K41" s="314">
        <f t="shared" si="29"/>
        <v>0</v>
      </c>
      <c r="L41" s="313">
        <v>0</v>
      </c>
      <c r="M41" s="312">
        <v>0</v>
      </c>
      <c r="N41" s="313">
        <v>0</v>
      </c>
      <c r="O41" s="314">
        <v>0</v>
      </c>
      <c r="P41" s="315">
        <v>0</v>
      </c>
      <c r="Q41" s="316">
        <v>0</v>
      </c>
      <c r="R41" s="313">
        <v>0</v>
      </c>
      <c r="S41" s="314">
        <f t="shared" si="16"/>
        <v>0</v>
      </c>
      <c r="T41" s="317">
        <v>0</v>
      </c>
    </row>
    <row r="42" spans="1:20" s="15" customFormat="1" ht="21.95" customHeight="1">
      <c r="A42" s="832" t="s">
        <v>66</v>
      </c>
      <c r="B42" s="589">
        <f>SUM(B43:B44)</f>
        <v>5480</v>
      </c>
      <c r="C42" s="590">
        <f>SUM(C43:C44)</f>
        <v>240</v>
      </c>
      <c r="D42" s="599">
        <f>SUM(D43:D44)</f>
        <v>265</v>
      </c>
      <c r="E42" s="297">
        <f>SUM(E43:E44)</f>
        <v>148</v>
      </c>
      <c r="F42" s="332">
        <f>E42/K42*100</f>
        <v>63.519313304721024</v>
      </c>
      <c r="G42" s="833">
        <f>SUM(G43:G44)</f>
        <v>14</v>
      </c>
      <c r="H42" s="785">
        <f>G42/K42*100</f>
        <v>6.0085836909871242</v>
      </c>
      <c r="I42" s="299">
        <f>SUM(I43:I44)</f>
        <v>71</v>
      </c>
      <c r="J42" s="170">
        <f t="shared" ref="J42:J43" si="35">I42/K42*100</f>
        <v>30.472103004291846</v>
      </c>
      <c r="K42" s="299">
        <f>SUM(K43:K44)</f>
        <v>233</v>
      </c>
      <c r="L42" s="332">
        <f t="shared" si="23"/>
        <v>87.924528301886795</v>
      </c>
      <c r="M42" s="297">
        <f>SUM(M43:M44)</f>
        <v>8</v>
      </c>
      <c r="N42" s="329">
        <f>M42/E42*100</f>
        <v>5.4054054054054053</v>
      </c>
      <c r="O42" s="464">
        <f>SUM(O43:O44)</f>
        <v>3</v>
      </c>
      <c r="P42" s="823">
        <f>O42/G42*100</f>
        <v>21.428571428571427</v>
      </c>
      <c r="Q42" s="175">
        <v>0</v>
      </c>
      <c r="R42" s="182">
        <v>0</v>
      </c>
      <c r="S42" s="464">
        <f>SUM(S43:S44)</f>
        <v>11</v>
      </c>
      <c r="T42" s="449">
        <f>S42/K42*100</f>
        <v>4.7210300429184553</v>
      </c>
    </row>
    <row r="43" spans="1:20" ht="21.95" customHeight="1">
      <c r="A43" s="569" t="s">
        <v>67</v>
      </c>
      <c r="B43" s="446">
        <v>717</v>
      </c>
      <c r="C43" s="447">
        <v>60</v>
      </c>
      <c r="D43" s="655">
        <v>60</v>
      </c>
      <c r="E43" s="834">
        <v>0</v>
      </c>
      <c r="F43" s="181">
        <v>0</v>
      </c>
      <c r="G43" s="835">
        <v>0</v>
      </c>
      <c r="H43" s="836">
        <v>0</v>
      </c>
      <c r="I43" s="837">
        <v>60</v>
      </c>
      <c r="J43" s="184">
        <f t="shared" si="35"/>
        <v>100</v>
      </c>
      <c r="K43" s="183">
        <f t="shared" ref="K43:K47" si="36">SUM(I43,E43,G43)</f>
        <v>60</v>
      </c>
      <c r="L43" s="185">
        <f t="shared" si="23"/>
        <v>100</v>
      </c>
      <c r="M43" s="240">
        <v>0</v>
      </c>
      <c r="N43" s="249">
        <v>0</v>
      </c>
      <c r="O43" s="250">
        <v>0</v>
      </c>
      <c r="P43" s="251">
        <v>0</v>
      </c>
      <c r="Q43" s="242">
        <v>0</v>
      </c>
      <c r="R43" s="249">
        <v>0</v>
      </c>
      <c r="S43" s="250">
        <f t="shared" si="16"/>
        <v>0</v>
      </c>
      <c r="T43" s="252">
        <v>0</v>
      </c>
    </row>
    <row r="44" spans="1:20" ht="21.95" customHeight="1">
      <c r="A44" s="572" t="s">
        <v>68</v>
      </c>
      <c r="B44" s="573">
        <f>SUM(B45:B47)</f>
        <v>4763</v>
      </c>
      <c r="C44" s="574">
        <f>SUM(C45:C47)</f>
        <v>180</v>
      </c>
      <c r="D44" s="575">
        <f>SUM(D45:D47)</f>
        <v>205</v>
      </c>
      <c r="E44" s="187">
        <f>SUM(E45:E47)</f>
        <v>148</v>
      </c>
      <c r="F44" s="194">
        <f>E44/K44*100</f>
        <v>85.549132947976886</v>
      </c>
      <c r="G44" s="755">
        <f>SUM(G45:G47)</f>
        <v>14</v>
      </c>
      <c r="H44" s="756">
        <f>G44/K44*100</f>
        <v>8.0924855491329488</v>
      </c>
      <c r="I44" s="391">
        <f>SUM(I45:I47)</f>
        <v>11</v>
      </c>
      <c r="J44" s="279">
        <f>I44/K44*100</f>
        <v>6.3583815028901727</v>
      </c>
      <c r="K44" s="189">
        <f>SUM(K45:K47)</f>
        <v>173</v>
      </c>
      <c r="L44" s="194">
        <f t="shared" si="23"/>
        <v>84.390243902439025</v>
      </c>
      <c r="M44" s="187">
        <f>SUM(M45:M47)</f>
        <v>8</v>
      </c>
      <c r="N44" s="194">
        <f>M44/E44*100</f>
        <v>5.4054054054054053</v>
      </c>
      <c r="O44" s="196">
        <f>SUM(O45:O47)</f>
        <v>3</v>
      </c>
      <c r="P44" s="279">
        <f>O44/G44*100</f>
        <v>21.428571428571427</v>
      </c>
      <c r="Q44" s="189">
        <v>0</v>
      </c>
      <c r="R44" s="194">
        <v>0</v>
      </c>
      <c r="S44" s="196">
        <f>SUM(S45:S47)</f>
        <v>11</v>
      </c>
      <c r="T44" s="197">
        <f>S44/K44*100</f>
        <v>6.3583815028901727</v>
      </c>
    </row>
    <row r="45" spans="1:20" s="132" customFormat="1" ht="19.5" customHeight="1">
      <c r="A45" s="61" t="s">
        <v>69</v>
      </c>
      <c r="B45" s="120">
        <v>4763</v>
      </c>
      <c r="C45" s="121">
        <v>180</v>
      </c>
      <c r="D45" s="122">
        <v>205</v>
      </c>
      <c r="E45" s="123">
        <v>148</v>
      </c>
      <c r="F45" s="124">
        <f>E45/K45*100</f>
        <v>86.549707602339183</v>
      </c>
      <c r="G45" s="125">
        <v>14</v>
      </c>
      <c r="H45" s="126">
        <f>G45/K45*100</f>
        <v>8.1871345029239766</v>
      </c>
      <c r="I45" s="127">
        <v>9</v>
      </c>
      <c r="J45" s="128">
        <f>I45/K45*100</f>
        <v>5.2631578947368416</v>
      </c>
      <c r="K45" s="129">
        <f t="shared" si="36"/>
        <v>171</v>
      </c>
      <c r="L45" s="124">
        <f t="shared" si="23"/>
        <v>83.414634146341456</v>
      </c>
      <c r="M45" s="123">
        <v>8</v>
      </c>
      <c r="N45" s="124">
        <f>M45/E45*100</f>
        <v>5.4054054054054053</v>
      </c>
      <c r="O45" s="129">
        <v>3</v>
      </c>
      <c r="P45" s="128">
        <f>O45/G45*100</f>
        <v>21.428571428571427</v>
      </c>
      <c r="Q45" s="130">
        <v>0</v>
      </c>
      <c r="R45" s="124">
        <v>0</v>
      </c>
      <c r="S45" s="129">
        <f t="shared" si="16"/>
        <v>11</v>
      </c>
      <c r="T45" s="131">
        <f>S45/K45*100</f>
        <v>6.4327485380116958</v>
      </c>
    </row>
    <row r="46" spans="1:20" s="132" customFormat="1" ht="19.5" customHeight="1">
      <c r="A46" s="61" t="s">
        <v>70</v>
      </c>
      <c r="B46" s="133"/>
      <c r="C46" s="134"/>
      <c r="D46" s="135"/>
      <c r="E46" s="136">
        <v>0</v>
      </c>
      <c r="F46" s="137">
        <v>0</v>
      </c>
      <c r="G46" s="138">
        <v>0</v>
      </c>
      <c r="H46" s="139">
        <v>0</v>
      </c>
      <c r="I46" s="140">
        <v>1</v>
      </c>
      <c r="J46" s="141"/>
      <c r="K46" s="142">
        <f t="shared" si="36"/>
        <v>1</v>
      </c>
      <c r="L46" s="143">
        <v>0</v>
      </c>
      <c r="M46" s="136">
        <v>0</v>
      </c>
      <c r="N46" s="137">
        <v>0</v>
      </c>
      <c r="O46" s="142">
        <v>0</v>
      </c>
      <c r="P46" s="144">
        <v>0</v>
      </c>
      <c r="Q46" s="145">
        <v>0</v>
      </c>
      <c r="R46" s="137">
        <v>0</v>
      </c>
      <c r="S46" s="142">
        <f t="shared" si="16"/>
        <v>0</v>
      </c>
      <c r="T46" s="146">
        <v>0</v>
      </c>
    </row>
    <row r="47" spans="1:20" s="132" customFormat="1" ht="19.5" customHeight="1" thickBot="1">
      <c r="A47" s="62" t="s">
        <v>71</v>
      </c>
      <c r="B47" s="147"/>
      <c r="C47" s="148"/>
      <c r="D47" s="149"/>
      <c r="E47" s="150">
        <v>0</v>
      </c>
      <c r="F47" s="151">
        <v>0</v>
      </c>
      <c r="G47" s="152">
        <v>0</v>
      </c>
      <c r="H47" s="153">
        <v>0</v>
      </c>
      <c r="I47" s="154">
        <v>1</v>
      </c>
      <c r="J47" s="155"/>
      <c r="K47" s="156">
        <f t="shared" si="36"/>
        <v>1</v>
      </c>
      <c r="L47" s="151">
        <v>0</v>
      </c>
      <c r="M47" s="150">
        <v>0</v>
      </c>
      <c r="N47" s="151">
        <v>0</v>
      </c>
      <c r="O47" s="156">
        <v>0</v>
      </c>
      <c r="P47" s="155">
        <v>0</v>
      </c>
      <c r="Q47" s="157">
        <v>0</v>
      </c>
      <c r="R47" s="151">
        <v>0</v>
      </c>
      <c r="S47" s="156">
        <f t="shared" si="16"/>
        <v>0</v>
      </c>
      <c r="T47" s="158">
        <v>0</v>
      </c>
    </row>
    <row r="48" spans="1:20" s="15" customFormat="1" ht="21.95" customHeight="1">
      <c r="A48" s="496" t="s">
        <v>72</v>
      </c>
      <c r="B48" s="497">
        <f>SUM(B49)</f>
        <v>1707</v>
      </c>
      <c r="C48" s="498">
        <f>SUM(C49)</f>
        <v>48</v>
      </c>
      <c r="D48" s="819">
        <f>SUM(D49)</f>
        <v>48</v>
      </c>
      <c r="E48" s="267">
        <v>0</v>
      </c>
      <c r="F48" s="333">
        <v>0</v>
      </c>
      <c r="G48" s="838">
        <v>0</v>
      </c>
      <c r="H48" s="839">
        <v>0</v>
      </c>
      <c r="I48" s="271">
        <f>SUM(I49)</f>
        <v>48</v>
      </c>
      <c r="J48" s="334">
        <f>I48/K48*100</f>
        <v>100</v>
      </c>
      <c r="K48" s="273">
        <f>SUM(I48,E48,G48)</f>
        <v>48</v>
      </c>
      <c r="L48" s="333">
        <f t="shared" si="23"/>
        <v>100</v>
      </c>
      <c r="M48" s="267">
        <v>0</v>
      </c>
      <c r="N48" s="333">
        <v>0</v>
      </c>
      <c r="O48" s="273">
        <v>0</v>
      </c>
      <c r="P48" s="334">
        <v>0</v>
      </c>
      <c r="Q48" s="269">
        <v>0</v>
      </c>
      <c r="R48" s="333">
        <v>0</v>
      </c>
      <c r="S48" s="273">
        <f t="shared" si="16"/>
        <v>0</v>
      </c>
      <c r="T48" s="337">
        <v>0</v>
      </c>
    </row>
    <row r="49" spans="1:20" ht="21.95" customHeight="1" thickBot="1">
      <c r="A49" s="569" t="s">
        <v>73</v>
      </c>
      <c r="B49" s="446">
        <v>1707</v>
      </c>
      <c r="C49" s="447">
        <v>48</v>
      </c>
      <c r="D49" s="655">
        <v>48</v>
      </c>
      <c r="E49" s="240">
        <v>0</v>
      </c>
      <c r="F49" s="249">
        <v>0</v>
      </c>
      <c r="G49" s="658">
        <v>0</v>
      </c>
      <c r="H49" s="840">
        <v>0</v>
      </c>
      <c r="I49" s="841">
        <v>48</v>
      </c>
      <c r="J49" s="251">
        <f>I49/K49*100</f>
        <v>100</v>
      </c>
      <c r="K49" s="250">
        <f>SUM(I49,E49,G49)</f>
        <v>48</v>
      </c>
      <c r="L49" s="249">
        <f t="shared" si="23"/>
        <v>100</v>
      </c>
      <c r="M49" s="240">
        <v>0</v>
      </c>
      <c r="N49" s="249">
        <v>0</v>
      </c>
      <c r="O49" s="250">
        <v>0</v>
      </c>
      <c r="P49" s="251">
        <v>0</v>
      </c>
      <c r="Q49" s="242">
        <v>0</v>
      </c>
      <c r="R49" s="249">
        <v>0</v>
      </c>
      <c r="S49" s="250">
        <f t="shared" si="16"/>
        <v>0</v>
      </c>
      <c r="T49" s="252">
        <v>0</v>
      </c>
    </row>
    <row r="50" spans="1:20" s="15" customFormat="1" ht="21.95" customHeight="1" thickBot="1">
      <c r="A50" s="376" t="s">
        <v>76</v>
      </c>
      <c r="B50" s="642">
        <f>SUM(B6,B9,B12,B17,B42,B48)</f>
        <v>15304</v>
      </c>
      <c r="C50" s="643">
        <f t="shared" ref="C50:S50" si="37">SUM(C6,C9,C12,C17,C42,C48)</f>
        <v>2468</v>
      </c>
      <c r="D50" s="644">
        <f t="shared" si="37"/>
        <v>2968</v>
      </c>
      <c r="E50" s="842">
        <f t="shared" si="37"/>
        <v>1230</v>
      </c>
      <c r="F50" s="843">
        <f>E50/K50*100</f>
        <v>45.861297539149888</v>
      </c>
      <c r="G50" s="646">
        <f t="shared" si="37"/>
        <v>833</v>
      </c>
      <c r="H50" s="650">
        <f>G50/K50*100</f>
        <v>31.058911260253542</v>
      </c>
      <c r="I50" s="844">
        <f t="shared" si="37"/>
        <v>619</v>
      </c>
      <c r="J50" s="843">
        <f>I50/K50*100</f>
        <v>23.079791200596571</v>
      </c>
      <c r="K50" s="844">
        <f t="shared" si="37"/>
        <v>2682</v>
      </c>
      <c r="L50" s="843">
        <f t="shared" si="23"/>
        <v>90.363881401617249</v>
      </c>
      <c r="M50" s="842">
        <f t="shared" si="37"/>
        <v>67</v>
      </c>
      <c r="N50" s="843">
        <f>M50/E50*100</f>
        <v>5.4471544715447155</v>
      </c>
      <c r="O50" s="845">
        <f t="shared" si="37"/>
        <v>139</v>
      </c>
      <c r="P50" s="846">
        <f>O50/G50*100</f>
        <v>16.686674669867948</v>
      </c>
      <c r="Q50" s="847">
        <f t="shared" si="37"/>
        <v>84</v>
      </c>
      <c r="R50" s="843">
        <f>Q50/I50*100</f>
        <v>13.570274636510501</v>
      </c>
      <c r="S50" s="845">
        <f t="shared" si="37"/>
        <v>290</v>
      </c>
      <c r="T50" s="384">
        <f>S50/K50*100</f>
        <v>10.812826249067859</v>
      </c>
    </row>
    <row r="51" spans="1:20" s="132" customFormat="1" ht="88.9" customHeight="1">
      <c r="A51" s="927" t="s">
        <v>82</v>
      </c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927"/>
      <c r="P51" s="927"/>
      <c r="Q51" s="927"/>
      <c r="R51" s="927"/>
      <c r="S51" s="927"/>
      <c r="T51" s="927"/>
    </row>
    <row r="52" spans="1:20" ht="18" customHeight="1">
      <c r="A52" s="848" t="s">
        <v>77</v>
      </c>
      <c r="B52" s="849"/>
      <c r="C52" s="849"/>
      <c r="D52" s="849"/>
      <c r="E52" s="850"/>
      <c r="F52" s="851"/>
      <c r="G52" s="132"/>
      <c r="H52" s="132"/>
      <c r="I52" s="850"/>
      <c r="J52" s="851"/>
      <c r="K52" s="850"/>
      <c r="L52" s="851"/>
      <c r="M52" s="850"/>
      <c r="N52" s="851"/>
      <c r="O52" s="850"/>
      <c r="P52" s="851"/>
      <c r="Q52" s="850"/>
      <c r="R52" s="851"/>
      <c r="S52" s="850"/>
      <c r="T52" s="851"/>
    </row>
    <row r="53" spans="1:20" ht="65.25" hidden="1" customHeight="1">
      <c r="A53" s="984" t="s">
        <v>113</v>
      </c>
      <c r="B53" s="984"/>
      <c r="C53" s="984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</row>
    <row r="54" spans="1:20" ht="24" hidden="1">
      <c r="A54" s="985" t="s">
        <v>114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</row>
  </sheetData>
  <mergeCells count="18">
    <mergeCell ref="A53:T53"/>
    <mergeCell ref="A54:T54"/>
    <mergeCell ref="G4:H4"/>
    <mergeCell ref="I4:J4"/>
    <mergeCell ref="M4:N4"/>
    <mergeCell ref="O4:P4"/>
    <mergeCell ref="Q4:R4"/>
    <mergeCell ref="A51:T51"/>
    <mergeCell ref="A1:T1"/>
    <mergeCell ref="A3:A5"/>
    <mergeCell ref="B3:B5"/>
    <mergeCell ref="C3:C5"/>
    <mergeCell ref="D3:D5"/>
    <mergeCell ref="E3:J3"/>
    <mergeCell ref="K3:L4"/>
    <mergeCell ref="M3:R3"/>
    <mergeCell ref="S3:T4"/>
    <mergeCell ref="E4:F4"/>
  </mergeCells>
  <printOptions horizontalCentered="1"/>
  <pageMargins left="0.35433070866141736" right="0.31496062992125984" top="0.35433070866141736" bottom="0.27" header="0.15748031496062992" footer="0.15748031496062992"/>
  <pageSetup paperSize="9" scale="75" firstPageNumber="9" orientation="landscape" useFirstPageNumber="1" r:id="rId1"/>
  <headerFooter>
    <oddFooter>&amp;L&amp;"TH SarabunPSK,Regular"&amp;8&amp;K00+000&amp;Z&amp;F&amp;R&amp;"TH SarabunPSK,Regular"&amp;16&amp;K00+000&amp;P</oddFooter>
  </headerFooter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AUN-8.1-1-2560</vt:lpstr>
      <vt:lpstr>C-1-1- 2559</vt:lpstr>
      <vt:lpstr>c1-1-1-2558</vt:lpstr>
      <vt:lpstr>c1-1-1-2557-แก้ไข050959</vt:lpstr>
      <vt:lpstr>c1-1-1-2556-แก้ไข-050959</vt:lpstr>
      <vt:lpstr>c1-1-1-2555-แก้ไข-050959</vt:lpstr>
      <vt:lpstr>c1-1-1-2554</vt:lpstr>
      <vt:lpstr>'AUN-8.1-1-2560'!Print_Area</vt:lpstr>
      <vt:lpstr>'C-1-1- 2559'!Print_Area</vt:lpstr>
      <vt:lpstr>'c1-1-1-2554'!Print_Area</vt:lpstr>
      <vt:lpstr>'c1-1-1-2555-แก้ไข-050959'!Print_Area</vt:lpstr>
      <vt:lpstr>'c1-1-1-2556-แก้ไข-050959'!Print_Area</vt:lpstr>
      <vt:lpstr>'c1-1-1-2557-แก้ไข050959'!Print_Area</vt:lpstr>
      <vt:lpstr>'c1-1-1-2558'!Print_Area</vt:lpstr>
      <vt:lpstr>'AUN-8.1-1-2560'!Print_Titles</vt:lpstr>
      <vt:lpstr>'C-1-1- 2559'!Print_Titles</vt:lpstr>
      <vt:lpstr>'c1-1-1-2554'!Print_Titles</vt:lpstr>
      <vt:lpstr>'c1-1-1-2555-แก้ไข-050959'!Print_Titles</vt:lpstr>
      <vt:lpstr>'c1-1-1-2556-แก้ไข-050959'!Print_Titles</vt:lpstr>
      <vt:lpstr>'c1-1-1-2557-แก้ไข050959'!Print_Titles</vt:lpstr>
      <vt:lpstr>'c1-1-1-2558'!Print_Titles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cp:lastPrinted>2018-07-31T07:33:43Z</cp:lastPrinted>
  <dcterms:created xsi:type="dcterms:W3CDTF">2017-06-08T10:25:49Z</dcterms:created>
  <dcterms:modified xsi:type="dcterms:W3CDTF">2018-08-15T22:24:50Z</dcterms:modified>
</cp:coreProperties>
</file>